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135" windowWidth="20730" windowHeight="6780"/>
  </bookViews>
  <sheets>
    <sheet name="Стр.1" sheetId="8" r:id="rId1"/>
    <sheet name="Стр.2-3" sheetId="9" r:id="rId2"/>
    <sheet name="Стр.4-5" sheetId="20" r:id="rId3"/>
    <sheet name="2020 " sheetId="18" r:id="rId4"/>
    <sheet name="2021" sheetId="21" r:id="rId5"/>
    <sheet name="Стр.6" sheetId="15" r:id="rId6"/>
    <sheet name="Стр 7" sheetId="4" r:id="rId7"/>
    <sheet name="стр 8-10" sheetId="12" r:id="rId8"/>
    <sheet name="стр.11" sheetId="13" r:id="rId9"/>
  </sheets>
  <externalReferences>
    <externalReference r:id="rId10"/>
  </externalReferences>
  <definedNames>
    <definedName name="_xlnm._FilterDatabase" localSheetId="3" hidden="1">'2020 '!$A$8:$K$79</definedName>
    <definedName name="_xlnm._FilterDatabase" localSheetId="4" hidden="1">'2021'!$A$8:$K$79</definedName>
    <definedName name="_xlnm._FilterDatabase" localSheetId="2" hidden="1">'Стр.4-5'!$A$8:$K$79</definedName>
    <definedName name="_xlnm.Print_Titles" localSheetId="3">'2020 '!$4:$7</definedName>
    <definedName name="_xlnm.Print_Titles" localSheetId="4">'2021'!$4:$7</definedName>
    <definedName name="_xlnm.Print_Titles" localSheetId="7">'стр 8-10'!$4:$4</definedName>
    <definedName name="_xlnm.Print_Titles" localSheetId="1">'Стр.2-3'!$6:$6</definedName>
    <definedName name="_xlnm.Print_Titles" localSheetId="2">'Стр.4-5'!$4:$7</definedName>
    <definedName name="_xlnm.Print_Area" localSheetId="3">'2020 '!$A$1:$J$79</definedName>
    <definedName name="_xlnm.Print_Area" localSheetId="4">'2021'!$A$1:$J$79</definedName>
    <definedName name="_xlnm.Print_Area" localSheetId="7">'стр 8-10'!$A$1:$H$74</definedName>
    <definedName name="_xlnm.Print_Area" localSheetId="0">Стр.1!$A$1:$DD$51</definedName>
    <definedName name="_xlnm.Print_Area" localSheetId="8">стр.11!$A$1:$E$23</definedName>
    <definedName name="_xlnm.Print_Area" localSheetId="1">'Стр.2-3'!$A$1:$DD$72</definedName>
    <definedName name="_xlnm.Print_Area" localSheetId="2">'Стр.4-5'!$A$1:$J$79</definedName>
  </definedNames>
  <calcPr calcId="145621"/>
</workbook>
</file>

<file path=xl/calcChain.xml><?xml version="1.0" encoding="utf-8"?>
<calcChain xmlns="http://schemas.openxmlformats.org/spreadsheetml/2006/main">
  <c r="D47" i="20" l="1"/>
  <c r="D12" i="20"/>
  <c r="D9" i="20"/>
  <c r="I61" i="20" l="1"/>
  <c r="I42" i="20"/>
  <c r="E60" i="20"/>
  <c r="I19" i="20"/>
  <c r="I14" i="20"/>
  <c r="E53" i="20" l="1"/>
  <c r="E47" i="20"/>
  <c r="I49" i="20" l="1"/>
  <c r="E57" i="20"/>
  <c r="E56" i="20"/>
  <c r="E41" i="20"/>
  <c r="E40" i="20"/>
  <c r="E32" i="20"/>
  <c r="H66" i="12" l="1"/>
  <c r="G66" i="12"/>
  <c r="F66" i="12"/>
  <c r="D66" i="12"/>
  <c r="H64" i="12"/>
  <c r="G64" i="12"/>
  <c r="F64" i="12"/>
  <c r="E64" i="12"/>
  <c r="D64" i="12"/>
  <c r="C64" i="12"/>
  <c r="C58" i="12"/>
  <c r="C57" i="12"/>
  <c r="H54" i="12"/>
  <c r="G54" i="12"/>
  <c r="F54" i="12"/>
  <c r="H49" i="12"/>
  <c r="G49" i="12"/>
  <c r="F49" i="12"/>
  <c r="E49" i="12"/>
  <c r="D49" i="12"/>
  <c r="H47" i="12"/>
  <c r="G47" i="12"/>
  <c r="F47" i="12"/>
  <c r="E47" i="12"/>
  <c r="D47" i="12"/>
  <c r="C47" i="12"/>
  <c r="H46" i="12"/>
  <c r="G46" i="12"/>
  <c r="H45" i="12"/>
  <c r="G45" i="12"/>
  <c r="F45" i="12"/>
  <c r="E45" i="12"/>
  <c r="C45" i="12"/>
  <c r="H44" i="12"/>
  <c r="G44" i="12"/>
  <c r="F44" i="12"/>
  <c r="E44" i="12"/>
  <c r="D44" i="12"/>
  <c r="C44" i="12"/>
  <c r="G41" i="12"/>
  <c r="C41" i="12"/>
  <c r="D40" i="12"/>
  <c r="F39" i="12"/>
  <c r="F46" i="12" s="1"/>
  <c r="D38" i="12"/>
  <c r="D45" i="12" s="1"/>
  <c r="H28" i="12"/>
  <c r="G28" i="12"/>
  <c r="F28" i="12"/>
  <c r="E28" i="12"/>
  <c r="D28" i="12"/>
  <c r="C28" i="12"/>
  <c r="F27" i="12"/>
  <c r="H23" i="12"/>
  <c r="G23" i="12"/>
  <c r="F23" i="12"/>
  <c r="D23" i="12"/>
  <c r="E20" i="12"/>
  <c r="C20" i="12"/>
  <c r="H19" i="12"/>
  <c r="G19" i="12"/>
  <c r="F19" i="12"/>
  <c r="D19" i="12"/>
  <c r="C19" i="12"/>
  <c r="H18" i="12"/>
  <c r="H14" i="12" s="1"/>
  <c r="G18" i="12"/>
  <c r="F18" i="12"/>
  <c r="H17" i="12"/>
  <c r="G17" i="12"/>
  <c r="F17" i="12"/>
  <c r="D17" i="12"/>
  <c r="H16" i="12"/>
  <c r="G16" i="12"/>
  <c r="F16" i="12"/>
  <c r="D16" i="12"/>
  <c r="D14" i="12" s="1"/>
  <c r="C16" i="12"/>
  <c r="G14" i="12"/>
  <c r="F14" i="12"/>
  <c r="E14" i="12"/>
  <c r="C14" i="12"/>
  <c r="C12" i="12"/>
  <c r="H11" i="12"/>
  <c r="G11" i="12"/>
  <c r="F11" i="12"/>
  <c r="D11" i="12"/>
  <c r="H10" i="12"/>
  <c r="G10" i="12"/>
  <c r="G12" i="12" s="1"/>
  <c r="F10" i="12"/>
  <c r="F12" i="12" s="1"/>
  <c r="D10" i="12"/>
  <c r="G8" i="12"/>
  <c r="G13" i="12" s="1"/>
  <c r="F8" i="12"/>
  <c r="F13" i="12" s="1"/>
  <c r="C8" i="12"/>
  <c r="H7" i="12"/>
  <c r="H12" i="12" s="1"/>
  <c r="G7" i="12"/>
  <c r="F7" i="12"/>
  <c r="E7" i="12"/>
  <c r="E41" i="12" s="1"/>
  <c r="D7" i="12"/>
  <c r="D41" i="12" s="1"/>
  <c r="C7" i="12"/>
  <c r="D12" i="12" l="1"/>
  <c r="H41" i="12"/>
  <c r="D8" i="12"/>
  <c r="D13" i="12" s="1"/>
  <c r="H8" i="12"/>
  <c r="H13" i="12" s="1"/>
  <c r="F41" i="12"/>
  <c r="G61" i="20" l="1"/>
  <c r="G60" i="20"/>
  <c r="I12" i="20"/>
  <c r="I53" i="20"/>
  <c r="E55" i="20"/>
  <c r="I51" i="20"/>
  <c r="E51" i="20"/>
  <c r="E31" i="20"/>
  <c r="J47" i="20" l="1"/>
  <c r="I65" i="20" l="1"/>
  <c r="I9" i="20" l="1"/>
  <c r="D41" i="20" l="1"/>
  <c r="I38" i="20"/>
  <c r="I47" i="20"/>
  <c r="I60" i="20" l="1"/>
  <c r="D18" i="20"/>
  <c r="C11" i="4" l="1"/>
  <c r="C9" i="4"/>
  <c r="D25" i="20" l="1"/>
  <c r="E12" i="20" l="1"/>
  <c r="G32" i="20" l="1"/>
  <c r="D19" i="20" l="1"/>
  <c r="D23" i="20" l="1"/>
  <c r="I23" i="20"/>
  <c r="G37" i="20" l="1"/>
  <c r="D32" i="20" l="1"/>
  <c r="I29" i="20"/>
  <c r="D60" i="20" l="1"/>
  <c r="I27" i="20"/>
  <c r="G53" i="20" l="1"/>
  <c r="C8" i="4" l="1"/>
  <c r="G57" i="20"/>
  <c r="G56" i="20"/>
  <c r="G47" i="20"/>
  <c r="D42" i="20" l="1"/>
  <c r="E11" i="13" l="1"/>
  <c r="E34" i="20"/>
  <c r="D36" i="20" l="1"/>
  <c r="G34" i="20"/>
  <c r="D37" i="20" l="1"/>
  <c r="I61" i="21"/>
  <c r="I65" i="21"/>
  <c r="I66" i="20" l="1"/>
  <c r="D17" i="20" l="1"/>
  <c r="D56" i="18" l="1"/>
  <c r="D34" i="20" l="1"/>
  <c r="G29" i="20"/>
  <c r="G27" i="20" l="1"/>
  <c r="D11" i="15" l="1"/>
  <c r="I56" i="21" l="1"/>
  <c r="I53" i="21"/>
  <c r="I47" i="21" s="1"/>
  <c r="E55" i="21"/>
  <c r="E32" i="21" l="1"/>
  <c r="I53" i="18" l="1"/>
  <c r="E55" i="18"/>
  <c r="E32" i="18"/>
  <c r="E14" i="21"/>
  <c r="E14" i="18"/>
  <c r="D76" i="20" l="1"/>
  <c r="D53" i="20" l="1"/>
  <c r="D40" i="20"/>
  <c r="D66" i="21" l="1"/>
  <c r="D65" i="21"/>
  <c r="D64" i="21"/>
  <c r="I63" i="21"/>
  <c r="D63" i="21" s="1"/>
  <c r="D61" i="21"/>
  <c r="D60" i="21"/>
  <c r="D57" i="21"/>
  <c r="D56" i="21"/>
  <c r="D55" i="21"/>
  <c r="D53" i="21"/>
  <c r="D51" i="21"/>
  <c r="D50" i="21"/>
  <c r="D49" i="21"/>
  <c r="E47" i="21"/>
  <c r="E41" i="21"/>
  <c r="D41" i="21" s="1"/>
  <c r="D40" i="21"/>
  <c r="D33" i="21"/>
  <c r="D32" i="21"/>
  <c r="E29" i="21"/>
  <c r="I29" i="21"/>
  <c r="D21" i="21"/>
  <c r="G20" i="21"/>
  <c r="G9" i="21" s="1"/>
  <c r="D15" i="21"/>
  <c r="I12" i="21"/>
  <c r="I9" i="21" s="1"/>
  <c r="D47" i="21" l="1"/>
  <c r="L9" i="15" s="1"/>
  <c r="F9" i="15" s="1"/>
  <c r="D14" i="21"/>
  <c r="D12" i="21" s="1"/>
  <c r="D20" i="21"/>
  <c r="D31" i="21"/>
  <c r="D29" i="21" s="1"/>
  <c r="I27" i="21"/>
  <c r="E12" i="21"/>
  <c r="E9" i="21" s="1"/>
  <c r="E38" i="21"/>
  <c r="D38" i="21" s="1"/>
  <c r="D66" i="20"/>
  <c r="D65" i="20"/>
  <c r="D64" i="20"/>
  <c r="I63" i="20"/>
  <c r="D63" i="20" s="1"/>
  <c r="D61" i="20"/>
  <c r="D57" i="20"/>
  <c r="D55" i="20"/>
  <c r="D51" i="20"/>
  <c r="D50" i="20"/>
  <c r="D49" i="20"/>
  <c r="E38" i="20"/>
  <c r="D38" i="20" s="1"/>
  <c r="D33" i="20"/>
  <c r="D31" i="20"/>
  <c r="E29" i="20"/>
  <c r="D21" i="20"/>
  <c r="G20" i="20"/>
  <c r="G9" i="20" s="1"/>
  <c r="D15" i="20"/>
  <c r="E9" i="20"/>
  <c r="E27" i="20" l="1"/>
  <c r="D27" i="21"/>
  <c r="E27" i="21"/>
  <c r="D9" i="21"/>
  <c r="D29" i="20"/>
  <c r="D14" i="20"/>
  <c r="D20" i="20"/>
  <c r="D56" i="20"/>
  <c r="D27" i="20" l="1"/>
  <c r="J9" i="15"/>
  <c r="J13" i="15" l="1"/>
  <c r="D9" i="15"/>
  <c r="I61" i="18"/>
  <c r="I33" i="18"/>
  <c r="I31" i="18"/>
  <c r="I29" i="18" l="1"/>
  <c r="D66" i="18"/>
  <c r="D65" i="18"/>
  <c r="I63" i="18"/>
  <c r="D63" i="18" s="1"/>
  <c r="D60" i="18"/>
  <c r="I51" i="18"/>
  <c r="D53" i="18"/>
  <c r="D51" i="18"/>
  <c r="E49" i="18"/>
  <c r="E41" i="18"/>
  <c r="I47" i="18" l="1"/>
  <c r="E47" i="18"/>
  <c r="BU11" i="9" l="1"/>
  <c r="I12" i="18" l="1"/>
  <c r="E12" i="18"/>
  <c r="D64" i="18" l="1"/>
  <c r="D61" i="18"/>
  <c r="D57" i="18"/>
  <c r="D55" i="18"/>
  <c r="D50" i="18"/>
  <c r="D49" i="18"/>
  <c r="D41" i="18"/>
  <c r="D40" i="18"/>
  <c r="E38" i="18"/>
  <c r="D38" i="18" s="1"/>
  <c r="E34" i="18"/>
  <c r="D34" i="18" s="1"/>
  <c r="D33" i="18"/>
  <c r="D32" i="18"/>
  <c r="D31" i="18"/>
  <c r="I27" i="18"/>
  <c r="D21" i="18"/>
  <c r="G20" i="18"/>
  <c r="D20" i="18" s="1"/>
  <c r="D15" i="18"/>
  <c r="D14" i="18"/>
  <c r="I9" i="18"/>
  <c r="E9" i="18"/>
  <c r="D47" i="18" l="1"/>
  <c r="D12" i="18"/>
  <c r="D9" i="18" s="1"/>
  <c r="G9" i="18"/>
  <c r="D29" i="18"/>
  <c r="E29" i="18"/>
  <c r="L13" i="15" l="1"/>
  <c r="F13" i="15" s="1"/>
  <c r="K9" i="15"/>
  <c r="E27" i="18"/>
  <c r="D27" i="18"/>
  <c r="K13" i="15" l="1"/>
  <c r="E13" i="15" s="1"/>
  <c r="E9" i="15"/>
  <c r="E15" i="13" l="1"/>
  <c r="BU9" i="9" l="1"/>
  <c r="D13" i="15" l="1"/>
  <c r="E13" i="12"/>
  <c r="E8" i="12"/>
</calcChain>
</file>

<file path=xl/comments1.xml><?xml version="1.0" encoding="utf-8"?>
<comments xmlns="http://schemas.openxmlformats.org/spreadsheetml/2006/main">
  <authors>
    <author>Татьяна</author>
    <author>1</author>
  </authors>
  <commentList>
    <comment ref="E55" authorId="0">
      <text>
        <r>
          <rPr>
            <sz val="9"/>
            <color indexed="81"/>
            <rFont val="Tahoma"/>
            <family val="2"/>
            <charset val="204"/>
          </rPr>
          <t xml:space="preserve">ремонт транспортных средств+видеонаблюдения
</t>
        </r>
      </text>
    </comment>
    <comment ref="G56" authorId="1">
      <text>
        <r>
          <rPr>
            <sz val="9"/>
            <color indexed="81"/>
            <rFont val="Tahoma"/>
            <family val="2"/>
            <charset val="204"/>
          </rPr>
          <t xml:space="preserve">
1.Ремонт лестничных маршей;
2.Ремонт пандуса;
3. Ремонт входной группы;
4. Затирка бетон поверхности</t>
        </r>
      </text>
    </comment>
    <comment ref="G60" authorId="1">
      <text>
        <r>
          <rPr>
            <sz val="9"/>
            <color indexed="81"/>
            <rFont val="Tahoma"/>
            <family val="2"/>
            <charset val="204"/>
          </rPr>
          <t>1. МФУ - 2 шт.;               
2. Пандусы - 6 шт.;
3. Автомобиль - 1 шт.;
4.Кресло-коляска -2 шт.;
5.Ходунки - 3 шт;
6.Тахограф -1 шт.</t>
        </r>
      </text>
    </comment>
    <comment ref="I60" authorId="1">
      <text>
        <r>
          <rPr>
            <sz val="9"/>
            <color indexed="81"/>
            <rFont val="Tahoma"/>
            <family val="2"/>
            <charset val="204"/>
          </rPr>
          <t xml:space="preserve">Грант по проекту для трудоустроен инвалидов (ЦЗН)40 000+пылесос 2 шт. 32 865
</t>
        </r>
      </text>
    </comment>
  </commentList>
</comments>
</file>

<file path=xl/comments2.xml><?xml version="1.0" encoding="utf-8"?>
<comments xmlns="http://schemas.openxmlformats.org/spreadsheetml/2006/main">
  <authors>
    <author>Татьяна</author>
  </authors>
  <commentList>
    <comment ref="E55" authorId="0">
      <text>
        <r>
          <rPr>
            <b/>
            <sz val="9"/>
            <color indexed="81"/>
            <rFont val="Tahoma"/>
            <family val="2"/>
            <charset val="204"/>
          </rPr>
          <t>Татьяна:</t>
        </r>
        <r>
          <rPr>
            <sz val="9"/>
            <color indexed="81"/>
            <rFont val="Tahoma"/>
            <family val="2"/>
            <charset val="204"/>
          </rPr>
          <t xml:space="preserve">
ремонт транспортных средств</t>
        </r>
      </text>
    </comment>
  </commentList>
</comments>
</file>

<file path=xl/comments3.xml><?xml version="1.0" encoding="utf-8"?>
<comments xmlns="http://schemas.openxmlformats.org/spreadsheetml/2006/main">
  <authors>
    <author>Татьяна</author>
  </authors>
  <commentList>
    <comment ref="E55" authorId="0">
      <text>
        <r>
          <rPr>
            <b/>
            <sz val="9"/>
            <color indexed="81"/>
            <rFont val="Tahoma"/>
            <family val="2"/>
            <charset val="204"/>
          </rPr>
          <t>Татьяна:</t>
        </r>
        <r>
          <rPr>
            <sz val="9"/>
            <color indexed="81"/>
            <rFont val="Tahoma"/>
            <family val="2"/>
            <charset val="204"/>
          </rPr>
          <t xml:space="preserve">
ремонт транспортных средств</t>
        </r>
      </text>
    </comment>
  </commentList>
</comments>
</file>

<file path=xl/comments4.xml><?xml version="1.0" encoding="utf-8"?>
<comments xmlns="http://schemas.openxmlformats.org/spreadsheetml/2006/main">
  <authors>
    <author>Татьяна</author>
    <author>Ti</author>
  </authors>
  <commentList>
    <comment ref="A7" authorId="0">
      <text>
        <r>
          <rPr>
            <b/>
            <sz val="9"/>
            <color indexed="81"/>
            <rFont val="Tahoma"/>
            <family val="2"/>
            <charset val="204"/>
          </rPr>
          <t>Татьяна:</t>
        </r>
        <r>
          <rPr>
            <sz val="9"/>
            <color indexed="81"/>
            <rFont val="Tahoma"/>
            <family val="2"/>
            <charset val="204"/>
          </rPr>
          <t xml:space="preserve">
с ЕЖКВ</t>
        </r>
      </text>
    </comment>
    <comment ref="C7" authorId="1">
      <text>
        <r>
          <rPr>
            <b/>
            <sz val="9"/>
            <color indexed="81"/>
            <rFont val="Tahoma"/>
            <family val="2"/>
            <charset val="204"/>
          </rPr>
          <t>Ti:</t>
        </r>
        <r>
          <rPr>
            <sz val="9"/>
            <color indexed="81"/>
            <rFont val="Tahoma"/>
            <family val="2"/>
            <charset val="204"/>
          </rPr>
          <t xml:space="preserve">
23204420+111000</t>
        </r>
      </text>
    </comment>
    <comment ref="A10" authorId="0">
      <text>
        <r>
          <rPr>
            <b/>
            <sz val="9"/>
            <color indexed="81"/>
            <rFont val="Tahoma"/>
            <family val="2"/>
            <charset val="204"/>
          </rPr>
          <t>Татьяна:</t>
        </r>
        <r>
          <rPr>
            <sz val="9"/>
            <color indexed="81"/>
            <rFont val="Tahoma"/>
            <family val="2"/>
            <charset val="204"/>
          </rPr>
          <t xml:space="preserve">
Директор, зам.директора, гл.бухгалтер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Татьяна:</t>
        </r>
        <r>
          <rPr>
            <sz val="9"/>
            <color indexed="81"/>
            <rFont val="Tahoma"/>
            <family val="2"/>
            <charset val="204"/>
          </rPr>
          <t xml:space="preserve">
 ФОТ с ЕЖКВ</t>
        </r>
      </text>
    </comment>
    <comment ref="C41" authorId="0">
      <text>
        <r>
          <rPr>
            <b/>
            <sz val="9"/>
            <color indexed="81"/>
            <rFont val="Tahoma"/>
            <family val="2"/>
            <charset val="204"/>
          </rPr>
          <t>Татьяна:</t>
        </r>
        <r>
          <rPr>
            <sz val="9"/>
            <color indexed="81"/>
            <rFont val="Tahoma"/>
            <family val="2"/>
            <charset val="204"/>
          </rPr>
          <t xml:space="preserve">
ФОТ руководителей: 2876890/3/12=79913,61
ФОТ работников: 20438530/67,4/12=25270,19</t>
        </r>
      </text>
    </comment>
    <comment ref="G41" authorId="0">
      <text>
        <r>
          <rPr>
            <b/>
            <sz val="9"/>
            <color indexed="81"/>
            <rFont val="Tahoma"/>
            <family val="2"/>
            <charset val="204"/>
          </rPr>
          <t>Татьяна:</t>
        </r>
        <r>
          <rPr>
            <sz val="9"/>
            <color indexed="81"/>
            <rFont val="Tahoma"/>
            <family val="2"/>
            <charset val="204"/>
          </rPr>
          <t xml:space="preserve">
ФОТ руководителей: 3582790/3/12=99521,94
ФОТ работников: 27039340/67,75/12=33258,72</t>
        </r>
      </text>
    </comment>
    <comment ref="H41" authorId="1">
      <text>
        <r>
          <rPr>
            <b/>
            <sz val="9"/>
            <color indexed="81"/>
            <rFont val="Tahoma"/>
            <family val="2"/>
            <charset val="204"/>
          </rPr>
          <t>Ti:</t>
        </r>
        <r>
          <rPr>
            <sz val="9"/>
            <color indexed="81"/>
            <rFont val="Tahoma"/>
            <family val="2"/>
            <charset val="204"/>
          </rPr>
          <t xml:space="preserve">
ФОТ руководителей: 3609300/3/12=100258,33
ФОТ работников: 27777120/67,75/12=34166,2</t>
        </r>
      </text>
    </comment>
  </commentList>
</comments>
</file>

<file path=xl/sharedStrings.xml><?xml version="1.0" encoding="utf-8"?>
<sst xmlns="http://schemas.openxmlformats.org/spreadsheetml/2006/main" count="715" uniqueCount="298">
  <si>
    <t>Наименование показателя</t>
  </si>
  <si>
    <t>Код строки</t>
  </si>
  <si>
    <t>Объем финансового обеспечения, руб. (с точностью до двух знаков после запятой - 0,00)</t>
  </si>
  <si>
    <t>всего</t>
  </si>
  <si>
    <t>в том числе:</t>
  </si>
  <si>
    <t xml:space="preserve"> из них гранты</t>
  </si>
  <si>
    <t>Поступления от доходов, всего:</t>
  </si>
  <si>
    <t>х</t>
  </si>
  <si>
    <t>из них:</t>
  </si>
  <si>
    <t>Остаток средств на начало года</t>
  </si>
  <si>
    <t>Остаток средств на конец года</t>
  </si>
  <si>
    <t>Сумма (руб., с точностью до двух знаков после запятой - 0,00)</t>
  </si>
  <si>
    <t>010</t>
  </si>
  <si>
    <t>Поступление</t>
  </si>
  <si>
    <t>020</t>
  </si>
  <si>
    <t>030</t>
  </si>
  <si>
    <t>Выбытие</t>
  </si>
  <si>
    <t>040</t>
  </si>
  <si>
    <t>Объем публичных обязательств, всего:</t>
  </si>
  <si>
    <t>Объем бюджетных инвестиций (в части переданных полномочий государственного (муниципального) заказчика в соответствии с Бюджетным кодексом Российской Федерации), всего:</t>
  </si>
  <si>
    <t>Объем средств, поступивших во временное распоряжение, всего:</t>
  </si>
  <si>
    <t>УТВЕРЖДАЮ</t>
  </si>
  <si>
    <t>(подпись)</t>
  </si>
  <si>
    <t>Форма по ОКУД</t>
  </si>
  <si>
    <t>Дата</t>
  </si>
  <si>
    <t>по ОКПО</t>
  </si>
  <si>
    <t>Глава по БК</t>
  </si>
  <si>
    <t>по ОКЕИ</t>
  </si>
  <si>
    <t>Всего</t>
  </si>
  <si>
    <t>(расшифровка подписи)</t>
  </si>
  <si>
    <t>КОДЫ</t>
  </si>
  <si>
    <t>ИНН</t>
  </si>
  <si>
    <t>КПП</t>
  </si>
  <si>
    <t>по ОКАТО</t>
  </si>
  <si>
    <t>1.1.4. Стоимость недвижимого имущества, переданного в аренду, безвозмездное пользование</t>
  </si>
  <si>
    <t>1.1.5. Остаточная стоимость недвижимого государственного имущества</t>
  </si>
  <si>
    <t>(наименование должности лица, утверждающего документ)</t>
  </si>
  <si>
    <t>"</t>
  </si>
  <si>
    <t xml:space="preserve"> г.</t>
  </si>
  <si>
    <t>План финансово-хозяйственной деятельности</t>
  </si>
  <si>
    <t>Наименование учреждения</t>
  </si>
  <si>
    <t>(подразделения)</t>
  </si>
  <si>
    <t>Единица измерения: руб.</t>
  </si>
  <si>
    <t>383</t>
  </si>
  <si>
    <t xml:space="preserve">Наименование органа, осуществляющего функции и полномочия учредителя </t>
  </si>
  <si>
    <t>Адрес фактического местонахождения учреждения (подразделения)</t>
  </si>
  <si>
    <t>1.1. Цели деятельности учреждения (подразделения):</t>
  </si>
  <si>
    <t>1.2. Виды деятельности учреждения (подразделения):</t>
  </si>
  <si>
    <t>Код по реестру участников бюджетного процесса, а также юридических лиц, не являющихся участниками бюджетного процесса)</t>
  </si>
  <si>
    <t>Юридический адрес учреждения (подразделения)</t>
  </si>
  <si>
    <t>1.3. Перечень услуг (работ), осуществляемых, в том числе, на платной основе:</t>
  </si>
  <si>
    <t>III. Обязательства, всего</t>
  </si>
  <si>
    <t>II. Финансовые активы, всего</t>
  </si>
  <si>
    <t>1.2.1. Общая балансовая стоимость особо ценного движимого имущества</t>
  </si>
  <si>
    <t>1.2. Общая балансовая стоимость движимого государственного имущества, всего</t>
  </si>
  <si>
    <t>1.1. Общая балансовая стоимость недвижимого государственного имущества, всего</t>
  </si>
  <si>
    <t>I. Нефинансовые активы, всего:</t>
  </si>
  <si>
    <t>1.1.1. Стоимость недвижимого имущества, закрепленного собственником имущества за государственным учреждением на праве оперативного управления</t>
  </si>
  <si>
    <t>1.1.2. Стоимость недвижимого имущества, приобретенного государственным учреждением (подразделением) за счет выделенных собственником имущества учреждения средств</t>
  </si>
  <si>
    <t>1.1.3. Стоимость недвижимого имущества, приобретенного государственным учреждением (подразделением) за счет доходов, полученных от платной и иной приносящей доход деятельности</t>
  </si>
  <si>
    <t>1.2.3. Стоимость движимого имущества, приобретенного учреждением за счет доходов, полученных от платной и иной приносящей доход деятельности</t>
  </si>
  <si>
    <t>Сумма, рублей</t>
  </si>
  <si>
    <t>2.1. Денежные средства учреждения, всего</t>
  </si>
  <si>
    <t>2.1.1. Денежные средства учреждения на счетах</t>
  </si>
  <si>
    <t>2.1.2. Денежные средства учреждения, размещенные на депозиты в кредитной организации</t>
  </si>
  <si>
    <t>2.2. Иные финансовые инструменты</t>
  </si>
  <si>
    <t>2.4. Дебиторская задолженность по расходам, всего</t>
  </si>
  <si>
    <t>2.4.1. Дебиторская задолженность по выданным авансам, полученным за счет средств областного бюджета</t>
  </si>
  <si>
    <t>2.4.2. Дебиторская задолженность по выданным авансам за счет доходов, полученных от платной и иной приносящей доход деятельности</t>
  </si>
  <si>
    <t>2.4.3. Дебиторская задолженность по выданным авансам за счет средств обязательного медицинского страхования</t>
  </si>
  <si>
    <t>2.3. Дебиторская задолженность по доходам, полученным за счет средств областного бюджета, всего</t>
  </si>
  <si>
    <t>3.1. Долговые обязательства</t>
  </si>
  <si>
    <t>3.2. Кредиторская задолженность:</t>
  </si>
  <si>
    <t>3.2.1. Кредиторская задолженность по принятым обязательствам за счет средств областного бюджета, всего:</t>
  </si>
  <si>
    <t>по социальным и иным выплатам населению</t>
  </si>
  <si>
    <t>по оплате труда</t>
  </si>
  <si>
    <t>по начислениям на выплаты по оплате труда</t>
  </si>
  <si>
    <t>по расходам на закупку товаров, работ, услуг</t>
  </si>
  <si>
    <t>по уплате налогов, сборов и иных платежей</t>
  </si>
  <si>
    <t>по прочим расходам</t>
  </si>
  <si>
    <t>3.2.2. Кредиторская задолженность по принятым обязательствам за счет доходов, полученных от платной и иной приносящей доход деятельности, всего:</t>
  </si>
  <si>
    <t>3.2.3. Кредиторская задолженность по принятым обязательствам за счет средств обязательного медицинского страхования, всего:</t>
  </si>
  <si>
    <t>3.2.4. Просроченная кредиторская задолженность, всего</t>
  </si>
  <si>
    <t>Исполнитель</t>
  </si>
  <si>
    <t>Выплаты по расходам, всего:</t>
  </si>
  <si>
    <t>Доходы от собственности</t>
  </si>
  <si>
    <t>Прочие доходы</t>
  </si>
  <si>
    <t>Субсидии, предоставляемые в соответствии с абзацем вторым пункта 1 статьи 78.1 БК РФ</t>
  </si>
  <si>
    <t>Субсидии на осуществление капитальных вложений</t>
  </si>
  <si>
    <t>Поступления от оказания услуг (выполнения работ) на платной основе и от иной приносящей доход деятельности</t>
  </si>
  <si>
    <t>в том числе на:</t>
  </si>
  <si>
    <t>Расходы на закупку товаров, работ, услуг, всего</t>
  </si>
  <si>
    <t>Код по бюджетной классификации РФ</t>
  </si>
  <si>
    <t>1. Сведения о деятельности учреждения (подразделения)</t>
  </si>
  <si>
    <t>2.1.  Показатели финансового состояния учреждения (подразделения)</t>
  </si>
  <si>
    <t>2.4. Справочная информация</t>
  </si>
  <si>
    <t>Единицы измерения</t>
  </si>
  <si>
    <t>чел.</t>
  </si>
  <si>
    <t>тыс. руб.</t>
  </si>
  <si>
    <t>руб.</t>
  </si>
  <si>
    <t>%</t>
  </si>
  <si>
    <t>2. Финансовые параметры деятельности учреждения (подразделения)</t>
  </si>
  <si>
    <t>м²</t>
  </si>
  <si>
    <t>1.1.2. Фонд оплаты труда прочих работников учреждения (подразделения)</t>
  </si>
  <si>
    <t>1.2. Фонд оплаты труда, отдельных категорий работников бюджетной сферы, повышение оплаты труда которых предусмотрено указами Президента РФ, всего</t>
  </si>
  <si>
    <t>в том числе по категориям работников:</t>
  </si>
  <si>
    <t>1.3. Среднесписочная численность работников учреждения (подразделения)</t>
  </si>
  <si>
    <t>1.3.2. Среднесписочная численность прочих работников учреждения (подразделения)</t>
  </si>
  <si>
    <t>в том числе по категориям работников, повышение оплаты труда которых предусмотрено указами Президента РФ:</t>
  </si>
  <si>
    <t>1. Сведения об уровне оплаты труда работников учреждения (подразделения)</t>
  </si>
  <si>
    <t>2. Сведения об использовании имущества учреждения (подразделения)</t>
  </si>
  <si>
    <t>2.1. Общая площадь объектов недвижимого имущества, закрепленная за  учреждением (подразделением)</t>
  </si>
  <si>
    <t>2.1.1. Площадь недвижимого имущества в безвозмездном пользовании, всего</t>
  </si>
  <si>
    <t>2.1.2.Площадь недвижимого имущества в безвозмездном пользовании, не используемая для выполнения государственного задания</t>
  </si>
  <si>
    <t>2.1.3. Площадь недвижимого имущества, переданная в аренду</t>
  </si>
  <si>
    <t>2.2. Затраты на содержание имущества учреждения (подразделения)</t>
  </si>
  <si>
    <t>2.2.1. Затраты на содержание имущества учреждения (подразделения), не используемого для выполнения государственного задания</t>
  </si>
  <si>
    <t>ед.</t>
  </si>
  <si>
    <t>2.3. Коэффициент износа основных средств (отношение величины износа основных средств на конец отчетного периода к  стоимости основных средств учреждения на конец отчетного периода)</t>
  </si>
  <si>
    <t>2.4. Коэффициент обновления основных средств (отношение стоимости основных средств поступивших за отчетный период к общей стоимости основных средств учреждения на конец отчетного периода)</t>
  </si>
  <si>
    <t>2.5. Коэффициенты ремонта зданий, характеризующие величину фактических расходов на капитальный ремонт зданий, приходящуюся на один рубль балансовой стоимости основных средств (в том числе за счет бюджетных средств)</t>
  </si>
  <si>
    <t>1.4. Среднесписочная численность работников учреждения (подразделения)  с которыми заключены эффективные контракты</t>
  </si>
  <si>
    <t>1.5. Среднесписочная численность, отдельных категорий работников бюджетной сферы, повышение оплаты труда которых предусмотрено указами Президента РФ, всего</t>
  </si>
  <si>
    <t>1.6. Средняя заработная плата, необходимая для реализации указов Президента РФ, предусматривающих повышение оплаты труда отдельных категорий работников бюджетной сферы</t>
  </si>
  <si>
    <t xml:space="preserve"> 1.7. Средняя заработная плата, сложившаяся/прогнозируемая в отчетном периоде</t>
  </si>
  <si>
    <t>1.4.1. Среднесписочная численность руководителей учреждения  (подразделения) и их заместителей с которыми заключены эффективные контракты</t>
  </si>
  <si>
    <t>1.4.2. Среднесписочная численность прочих работников учреждения (подразделения) с которыми заключены эффективные контракты</t>
  </si>
  <si>
    <t>из них: выплаты стимулирующего характера</t>
  </si>
  <si>
    <t>3. Сведения и показатели об использовании ресурсов учреждения (подразделения)</t>
  </si>
  <si>
    <t>да-1/нет-0</t>
  </si>
  <si>
    <t>да-1/нет-1</t>
  </si>
  <si>
    <t>Наименование мероприятия</t>
  </si>
  <si>
    <t>Сроки проведения</t>
  </si>
  <si>
    <t>Итого:</t>
  </si>
  <si>
    <t>Ожидаемый результат реализации</t>
  </si>
  <si>
    <t>Затраты, необходимые на проведение мероприятия, тыс. руб</t>
  </si>
  <si>
    <t>2. Повышение эффективности управления государственной собственностью</t>
  </si>
  <si>
    <t>3. Повышение качества предоставления государственных услуг</t>
  </si>
  <si>
    <t>1. Повышение эффективности управления и кадрового потенциала учреждения (подразделения)</t>
  </si>
  <si>
    <t>4. Направления оптимизации расходов учреждения (подразделения)</t>
  </si>
  <si>
    <t>4. Перечень мероприятий по повышению эффективности деятельности учреждения (подразделения)</t>
  </si>
  <si>
    <t>2.2. Показатели по поступлениям и выплатам учреждения (подразделения)*</t>
  </si>
  <si>
    <t>2.3. Сведения о средствах, поступающих во временное распоряжение учреждения (подразделения)*</t>
  </si>
  <si>
    <t xml:space="preserve">службы учреждения (подразделения) </t>
  </si>
  <si>
    <r>
      <t xml:space="preserve">1.2.2. Стоимость </t>
    </r>
    <r>
      <rPr>
        <b/>
        <sz val="10"/>
        <rFont val="Times New Roman"/>
        <family val="1"/>
        <charset val="204"/>
      </rPr>
      <t>иного</t>
    </r>
    <r>
      <rPr>
        <sz val="10"/>
        <rFont val="Times New Roman"/>
        <family val="1"/>
        <charset val="204"/>
      </rPr>
      <t xml:space="preserve"> движимого имущества, приобретенного государственным учреждением за счет доходов, полученных за счет бюджетных средств</t>
    </r>
  </si>
  <si>
    <t>1.2.4. Стоимость движимого имущества, приобретенного учреждением за счет средств обязательного медицинского страхования</t>
  </si>
  <si>
    <t>1.2.5. Остаточная стоимость особо ценного движимого имущества</t>
  </si>
  <si>
    <t>3. Показатели характеризующие объем и качество оказываемой услуги</t>
  </si>
  <si>
    <t>3.1.1. Количество государственных услуг, в отношении которых нормативно установлены требования к качеству их оказания</t>
  </si>
  <si>
    <t>4. Показатели открытости и прозрачности деятельности</t>
  </si>
  <si>
    <t xml:space="preserve">4.1. Обеспечено размещение (актуализация) сведений об учреждении  (подразделении) на официальном сайте в сети Интернет www.bus.gov.ru 
</t>
  </si>
  <si>
    <t>4.2. Обеспечено размещение в сети Интернет информации о результатах деятельности учреждения (подразделения) за отчетный год</t>
  </si>
  <si>
    <t>увеличение стоимости основных средств</t>
  </si>
  <si>
    <t>Доходы от оказания услуг, работ, всего</t>
  </si>
  <si>
    <t>за счет бюджетных средств</t>
  </si>
  <si>
    <t xml:space="preserve">     за счет приносящей доход деятельности</t>
  </si>
  <si>
    <t xml:space="preserve"> в том числе:</t>
  </si>
  <si>
    <t xml:space="preserve">    услуги связи</t>
  </si>
  <si>
    <t xml:space="preserve">    транспортные расходы</t>
  </si>
  <si>
    <t xml:space="preserve">     коммунальные услуги</t>
  </si>
  <si>
    <t xml:space="preserve">    арендная плата за пользование имуществом</t>
  </si>
  <si>
    <t xml:space="preserve">    организация питания</t>
  </si>
  <si>
    <t xml:space="preserve">    горюче-смазочные материалы</t>
  </si>
  <si>
    <t xml:space="preserve">    продукты питания</t>
  </si>
  <si>
    <t xml:space="preserve">    мягкий инвентарь</t>
  </si>
  <si>
    <t>из них: выплаты стимулирующего характера*</t>
  </si>
  <si>
    <t>1.1. Повышение квалификации:</t>
  </si>
  <si>
    <t>социальные работники</t>
  </si>
  <si>
    <t>средний медицинский персонал</t>
  </si>
  <si>
    <t>младший медицинский персонал</t>
  </si>
  <si>
    <t>3.1. Общее количество государственных услуг, оказываемых учреждением (подразделением)</t>
  </si>
  <si>
    <t>Согласовано:</t>
  </si>
  <si>
    <t>Наблюдательным советом</t>
  </si>
  <si>
    <t>ГОАУСОН "Ковдорский КЦСОН"</t>
  </si>
  <si>
    <t>51690472</t>
  </si>
  <si>
    <t>5104004993</t>
  </si>
  <si>
    <t>510401001</t>
  </si>
  <si>
    <t>Министерство социального развития Мурманской области</t>
  </si>
  <si>
    <t>803</t>
  </si>
  <si>
    <t>4</t>
  </si>
  <si>
    <t>7</t>
  </si>
  <si>
    <t>2</t>
  </si>
  <si>
    <t>9</t>
  </si>
  <si>
    <t>5</t>
  </si>
  <si>
    <t>8</t>
  </si>
  <si>
    <t>-  предоставление  гражданам, признанным нуждающимся в социальном обслуживании социальных услуг, направленных на улучшение условий их жизнедеятельности.</t>
  </si>
  <si>
    <t>Иные субсидии, предоставленные из бюджета</t>
  </si>
  <si>
    <t>Доходы от штрафов, пеней, иных сумм принудительного изъятия</t>
  </si>
  <si>
    <t>Безвозмездные поступления от наднациональных организаций, правительств иностранных государств, международных финансовых организаций</t>
  </si>
  <si>
    <t>Выплаты персоналу всего:</t>
  </si>
  <si>
    <t>оплата труда</t>
  </si>
  <si>
    <t>прочие выплаты</t>
  </si>
  <si>
    <t>начисления на выплаты по оплате труда</t>
  </si>
  <si>
    <t>Ш</t>
  </si>
  <si>
    <t>Доходы от операций с активами</t>
  </si>
  <si>
    <t>Социальные и иные выплаты населению, всего</t>
  </si>
  <si>
    <t>Уплату налогов, сборов и иных платежей, всего</t>
  </si>
  <si>
    <t>земельный налог, налог на имущество</t>
  </si>
  <si>
    <t>Безвозмездные перечисления организациям</t>
  </si>
  <si>
    <t>Прочие расходы (кроме расходов на закупку товаров, работ, услуг)</t>
  </si>
  <si>
    <t xml:space="preserve">     текущий ремонт движимого имущества</t>
  </si>
  <si>
    <t xml:space="preserve">     текущий ремонт недвижимого имущества</t>
  </si>
  <si>
    <t>Поступления финансовых активов, всего:</t>
  </si>
  <si>
    <t>Увеличение остатков средств</t>
  </si>
  <si>
    <t xml:space="preserve">Прочие поступления </t>
  </si>
  <si>
    <t>Выбытие финансовых активов, всего</t>
  </si>
  <si>
    <t>Уменьшение остатков средств</t>
  </si>
  <si>
    <t>Прочие выбытия</t>
  </si>
  <si>
    <t>4.1. Оптимизация штатного расписания</t>
  </si>
  <si>
    <t>3.1. Повышение квалификации</t>
  </si>
  <si>
    <t xml:space="preserve"> приобретение товаров, работ, услуг в пользу граждан в целях их социального обеспечения</t>
  </si>
  <si>
    <t>Экономия денежных средств на потребление энергоресурсов.</t>
  </si>
  <si>
    <t>4.2. Проведение мероприятий по энергоосбережению</t>
  </si>
  <si>
    <t>повышение профессионального уровня</t>
  </si>
  <si>
    <t xml:space="preserve">   </t>
  </si>
  <si>
    <t>пособия, компенсации и иные социальные выплаты гражданам, кроме публичных нормативных обязательств</t>
  </si>
  <si>
    <t>Средства в объеме остатков субсидии, предоставленных в отчетном финансовом году государственным бюджетным и автономным учреждениям Мурманской области на финансовое обеспечение выполнения государственныъх заданий на оказание государственных услуг (выполнение работ), образовавшихся в связи с недостижением установленных государственным заданием показателей, характеризующих объем государственных услуг</t>
  </si>
  <si>
    <t xml:space="preserve">        иные платежи</t>
  </si>
  <si>
    <t>дополнительные платные  услуги</t>
  </si>
  <si>
    <t>на 20__г. 
очередной финансовый год</t>
  </si>
  <si>
    <t>1.1.1.Фонд оплаты труда руководителей учреждения  (подразделения) и их заместителей,главного бухгалтера</t>
  </si>
  <si>
    <t xml:space="preserve">     средства на уплату налогов, в качестве объекта налогообложения по которым признается имущество учреждения</t>
  </si>
  <si>
    <t xml:space="preserve">      средства на содержание имущества учреждения,  неиспользуемого для оуказания государственных услуг (выполнения работ) и для общехозяйственных нужд</t>
  </si>
  <si>
    <t>в том числе по категориям работников, повышение оплаты труда которых предусмотрено указами Президента РФ :</t>
  </si>
  <si>
    <t>1.8. Отношение средней заработной платы руководителей учреждения (подразделения) и их заместителей к средней заработной плате работников учреждения (подразделения)</t>
  </si>
  <si>
    <t xml:space="preserve">1.9. Отношение средней заработной платы, сложившейся/прогнозируемой в отчетном периоде к средней заработной плате, необходимой для реализации указов Президента РФ </t>
  </si>
  <si>
    <t>1.1. Фонд оплаты труда, всего</t>
  </si>
  <si>
    <t>за 2016г. 
отчетный финансовый год</t>
  </si>
  <si>
    <t>-  по программе "Устройство и безопасная эксплуатация тепловых энергоустановок и тепловых сетей"</t>
  </si>
  <si>
    <t>2.2.1. Показатели выплат по расходам на закупку товаров, работ, услуг  учреждения (подразделения)*</t>
  </si>
  <si>
    <t>Год начала закупки</t>
  </si>
  <si>
    <t>Сумма выплат по расходам на закупку товаров, работ и услуг, руб. (с точностью до двух знаков после запятой - 0,00</t>
  </si>
  <si>
    <t>Всего на закупки</t>
  </si>
  <si>
    <t>в соответствии с Федеральным законом от 5 апреля 2013 г. № 44-ФЗ "О контрактной системе в сфере закупок товаров, работ, услуг для обеспечения государственных и муниципальных нужд"</t>
  </si>
  <si>
    <t>в соответствии с Федеральным законом от 18 июля 2011 г. № 223-ФЗ "О  закупках товаров, работ, услуг отдельными видами юридических лиц"</t>
  </si>
  <si>
    <t>на 20__г. 
1-ый год планового периода</t>
  </si>
  <si>
    <t>на 20__г. 
2-ой год планового периода</t>
  </si>
  <si>
    <t>Выплаты по расходам на закупку товаров, работ, услуг всего:</t>
  </si>
  <si>
    <t>0001</t>
  </si>
  <si>
    <t>на оплату контрактов заключенных до начала очередного финансового года:</t>
  </si>
  <si>
    <t>на закупку товаров работ, услуг по году начала закупки:</t>
  </si>
  <si>
    <t>* Заполняется в порядке, установленном приказом  Минфина России от 28.07.2010 № 81н "О требованиях к плану финансово-хозяйственной деятельности государственного (муниципального) учреждения" ( в редакции приказа от 24.09.2015 №140н)</t>
  </si>
  <si>
    <t>Субсидии на финансовое обеспечение выполнения государственного задания из федерального бюджета, бюджета субъекта Российской Федерации</t>
  </si>
  <si>
    <t>Субсидии на финансовое обеспечение выполнения государственного задания из  бюджета Федерального  фонда обязательного медицинского страхования Федерации</t>
  </si>
  <si>
    <t>5.1</t>
  </si>
  <si>
    <t xml:space="preserve">капитальный ремонт </t>
  </si>
  <si>
    <t>государственные услуги</t>
  </si>
  <si>
    <t>47203501000</t>
  </si>
  <si>
    <t>на "01" января  2020 г.</t>
  </si>
  <si>
    <t xml:space="preserve">  прочие налоги, сборы  (транспортный налог,    плата за загрязнений окружающей среды и т.д.)</t>
  </si>
  <si>
    <t>работы, услуги по содержанию имущества, всего</t>
  </si>
  <si>
    <t>прочие работы, услуги, всего</t>
  </si>
  <si>
    <t>увеличение стоимости материальных запасов, всего</t>
  </si>
  <si>
    <t xml:space="preserve">    медикаменты и перевязочные средства</t>
  </si>
  <si>
    <t xml:space="preserve">     прочие налоги, сборы  (транспортный налог,    плата за загрязнений окружающей среды и т.д.)</t>
  </si>
  <si>
    <t>1.3.1. Среднесписочная численность руководителей учреждения  (подразделения) и их заместителей</t>
  </si>
  <si>
    <t>1.3.1. Перечень дополнительных платных услуг (работ):</t>
  </si>
  <si>
    <t>предоставление социального обслуживания  в полустационарной форме  включая оказание социально-бытовых услуг, 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услуг;                                                                                                                                                                                                                                 - предоставление социального обслуживания  в форме на дому включая оказание социально-бытовых услуг, 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услуг;</t>
  </si>
  <si>
    <t>- предоставление социального обслуживания в стационарной форме, в том числе, на платной основе влючая оказание социально-бытовых услуг, социально-психологических услуг, социально-медицинских услуг, социально-педагогических услуг, социально-трудовых услуг, социально-правовых услуг, услуг в целях повышения коммуникативнного потенциала получателей социальных услуг, имеющих ограничения жизнедеятельности, в том числе детей-инвалидов.</t>
  </si>
  <si>
    <t>* Указывается финансовый год, если закон об обласном бюджете утверждается на один финансовый год, либо финансовый год и плановый период, если закон об областном бюджете утверждается на очередной финансовый год и плановый период.</t>
  </si>
  <si>
    <t>улучшение качества оказываемых услуг</t>
  </si>
  <si>
    <t>Повышение квалификации</t>
  </si>
  <si>
    <t xml:space="preserve">Руководителя финансово-экономической </t>
  </si>
  <si>
    <t>Определение оптимальногного количества работников.</t>
  </si>
  <si>
    <t>19</t>
  </si>
  <si>
    <t>на 2019 год и плановый период 2020 и 2021 годов</t>
  </si>
  <si>
    <t>184144, г.Ковдор, Мурманская обл., ул.Баштыркова, д.5А</t>
  </si>
  <si>
    <t>на 2019г. 
очередной финансовый год</t>
  </si>
  <si>
    <t>на 2020г. 
1-ый год планового периода</t>
  </si>
  <si>
    <t>на 2021г. 
2-ой год планового периода</t>
  </si>
  <si>
    <t>на "01" января  2021 г.</t>
  </si>
  <si>
    <t>врач</t>
  </si>
  <si>
    <t>на " 1 " января 2019 г.</t>
  </si>
  <si>
    <t>за 2018г. 
отчетный финансовый год</t>
  </si>
  <si>
    <t>за 2019г. 
текущий финансовый год</t>
  </si>
  <si>
    <t>на 2021г. 
1-ой год планового периода</t>
  </si>
  <si>
    <t>на 2020г. 
очередной финансовый год</t>
  </si>
  <si>
    <t xml:space="preserve">- в форме социального обслуживания на дому;
- социальное обслуживание в полустационарной форме; 
- предоставление социального обслуживания в стационарной форме.
</t>
  </si>
  <si>
    <t>приобретение товаров, работ, услуг в пользу граждан в целях их социального обеспечения</t>
  </si>
  <si>
    <t xml:space="preserve"> обеспечение временного содержания граждан, в том числе присмотр и уход; индивидуальное сопровождение заказчика при посещении объектов торговли, кредитных организаций, организаций федеральной почтовой связи, а также на прогулке; получение и отправка посылок (до 5 кг.) бандеролей, почтовых переводов; посещение в период госпитализации в медицинских организациях с целью обеспечения товарами первой необходимости, продуктами питания, лекарственными препаратами, приобритение и доставка для личных нужд заказчика товаров, не относящихся к предметам, предоставляемым по нормам (нормативам), утвержденным Правительством Мурманской области, в стационарных условиях; доставка заказчика в медицинские организации, учреждения социальной защиты, культуры и другим социальным объектам; стирка в автоматической машине; ручная стирка; услуги индивидуально-обслуживающего и гигиенического характера; оплата за счет средств заказчика платежных квитанций (за исключением жилищно-коммунальных услуг и услуг связи, мобильного телефона); глаженье белья на дому заказчика; чистка (мытье) на дому; выбивание (вытряхивание) ковров; приготовление пищи на дому у заказчика; оказание содействия в оформлении документов для направления в стационарную организацию соц. обслуживания; мытье окна на дому; прикрепление (снятие) портьер на дому; утепление окна на дому; вынос бытовых отходов; замена эектрической лампочки в осветительном приборе на дому у заказчика; обеспечение присмотра и ухода за гражданином в период его нахождения в медицинских организациях.</t>
  </si>
  <si>
    <t>государственное областное автономное учреждение социального обслуживания населения "Ковдорский  комплексный центр социального обслуживания населения"</t>
  </si>
  <si>
    <t>реализация материальных запасов полученных от ликвидации основных средств и оставшиеся в распоряжении учреждения</t>
  </si>
  <si>
    <t>тел.8(815 35)550951</t>
  </si>
  <si>
    <t>иные платежи</t>
  </si>
  <si>
    <t>прочие налоги, сборы  (транспортный налог и т.д.)</t>
  </si>
  <si>
    <t>Директор ГОАУСОН "Ковдорский КЦСОН"</t>
  </si>
  <si>
    <t>Т.С. Радаева</t>
  </si>
  <si>
    <t>О.Г.Белялова</t>
  </si>
  <si>
    <t>Ю.В. Симонова</t>
  </si>
  <si>
    <t>на "25" октября 2019 г.</t>
  </si>
  <si>
    <t>Протокол № 10  от  25.10.2019г.</t>
  </si>
  <si>
    <t>25</t>
  </si>
  <si>
    <t>10</t>
  </si>
  <si>
    <t>октября</t>
  </si>
  <si>
    <t>25.10.2019</t>
  </si>
  <si>
    <t>на " 25" октября   2019г.</t>
  </si>
  <si>
    <t>на "25 " октября 2019 г.</t>
  </si>
  <si>
    <t>на " 25  " __октября____2019__г.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</si>
</sst>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"/>
    <numFmt numFmtId="165" formatCode="0.0"/>
    <numFmt numFmtId="166" formatCode="0.000"/>
    <numFmt numFmtId="167" formatCode="#,##0.000"/>
    <numFmt numFmtId="168" formatCode="#,##0.00\ &quot;₽&quot;"/>
    <numFmt numFmtId="169" formatCode="#,##0.00_р_."/>
    <numFmt numFmtId="170" formatCode="000000"/>
  </numFmts>
  <fonts count="17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Arial Cyr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3" fillId="0" borderId="0"/>
  </cellStyleXfs>
  <cellXfs count="29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4" fillId="0" borderId="0" xfId="1" applyFont="1"/>
    <xf numFmtId="0" fontId="5" fillId="0" borderId="0" xfId="1" applyFont="1"/>
    <xf numFmtId="0" fontId="6" fillId="0" borderId="0" xfId="1" applyFont="1"/>
    <xf numFmtId="0" fontId="5" fillId="0" borderId="0" xfId="1" applyFont="1" applyFill="1"/>
    <xf numFmtId="49" fontId="5" fillId="0" borderId="0" xfId="1" applyNumberFormat="1" applyFont="1" applyBorder="1" applyAlignment="1">
      <alignment horizontal="left"/>
    </xf>
    <xf numFmtId="0" fontId="8" fillId="0" borderId="0" xfId="1" applyFont="1"/>
    <xf numFmtId="0" fontId="9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Fill="1" applyBorder="1" applyAlignment="1">
      <alignment horizontal="left" wrapText="1"/>
    </xf>
    <xf numFmtId="49" fontId="5" fillId="0" borderId="0" xfId="1" applyNumberFormat="1" applyFont="1" applyFill="1" applyBorder="1" applyAlignment="1">
      <alignment horizontal="center" vertical="top"/>
    </xf>
    <xf numFmtId="0" fontId="8" fillId="0" borderId="0" xfId="0" applyFont="1"/>
    <xf numFmtId="49" fontId="5" fillId="0" borderId="0" xfId="1" applyNumberFormat="1" applyFont="1" applyFill="1" applyBorder="1" applyAlignment="1">
      <alignment vertical="top" wrapText="1"/>
    </xf>
    <xf numFmtId="49" fontId="5" fillId="0" borderId="0" xfId="1" applyNumberFormat="1" applyFont="1" applyFill="1" applyBorder="1" applyAlignment="1">
      <alignment horizontal="left" vertical="top" wrapText="1"/>
    </xf>
    <xf numFmtId="0" fontId="10" fillId="0" borderId="0" xfId="1" applyFont="1"/>
    <xf numFmtId="0" fontId="1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 indent="2"/>
    </xf>
    <xf numFmtId="0" fontId="1" fillId="0" borderId="1" xfId="0" applyFont="1" applyFill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9" fillId="0" borderId="3" xfId="1" applyFont="1" applyFill="1" applyBorder="1" applyAlignment="1">
      <alignment horizontal="left"/>
    </xf>
    <xf numFmtId="0" fontId="10" fillId="0" borderId="8" xfId="1" applyFont="1" applyFill="1" applyBorder="1" applyAlignment="1">
      <alignment horizontal="left"/>
    </xf>
    <xf numFmtId="0" fontId="5" fillId="0" borderId="3" xfId="1" applyFont="1" applyFill="1" applyBorder="1" applyAlignment="1">
      <alignment horizontal="left"/>
    </xf>
    <xf numFmtId="0" fontId="5" fillId="0" borderId="8" xfId="1" applyFont="1" applyFill="1" applyBorder="1" applyAlignment="1">
      <alignment horizontal="left"/>
    </xf>
    <xf numFmtId="0" fontId="5" fillId="0" borderId="8" xfId="1" applyFont="1" applyFill="1" applyBorder="1" applyAlignment="1">
      <alignment horizontal="left" wrapText="1" indent="2"/>
    </xf>
    <xf numFmtId="0" fontId="5" fillId="0" borderId="7" xfId="1" applyFont="1" applyFill="1" applyBorder="1" applyAlignment="1">
      <alignment horizontal="left"/>
    </xf>
    <xf numFmtId="0" fontId="5" fillId="0" borderId="8" xfId="1" applyFont="1" applyFill="1" applyBorder="1" applyAlignment="1">
      <alignment horizontal="left" wrapText="1" indent="3"/>
    </xf>
    <xf numFmtId="0" fontId="5" fillId="0" borderId="8" xfId="1" applyFont="1" applyFill="1" applyBorder="1" applyAlignment="1">
      <alignment horizontal="left" wrapText="1" indent="4"/>
    </xf>
    <xf numFmtId="0" fontId="5" fillId="0" borderId="8" xfId="1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vertical="center" wrapText="1" indent="2"/>
    </xf>
    <xf numFmtId="0" fontId="5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left" vertical="center" wrapText="1" indent="2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Fill="1"/>
    <xf numFmtId="0" fontId="5" fillId="0" borderId="0" xfId="1" applyFont="1" applyFill="1" applyAlignment="1">
      <alignment horizontal="left"/>
    </xf>
    <xf numFmtId="0" fontId="5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4" fillId="0" borderId="0" xfId="1" applyFont="1" applyFill="1" applyAlignment="1">
      <alignment horizontal="left"/>
    </xf>
    <xf numFmtId="0" fontId="4" fillId="0" borderId="2" xfId="1" applyFont="1" applyFill="1" applyBorder="1" applyAlignment="1">
      <alignment horizontal="left"/>
    </xf>
    <xf numFmtId="0" fontId="5" fillId="0" borderId="0" xfId="1" applyFont="1" applyFill="1" applyAlignment="1">
      <alignment vertical="center"/>
    </xf>
    <xf numFmtId="0" fontId="9" fillId="0" borderId="0" xfId="1" applyFont="1" applyFill="1"/>
    <xf numFmtId="0" fontId="9" fillId="0" borderId="0" xfId="1" applyFont="1" applyFill="1" applyAlignment="1">
      <alignment horizontal="right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left" vertical="top"/>
    </xf>
    <xf numFmtId="0" fontId="5" fillId="0" borderId="0" xfId="1" applyFont="1" applyFill="1" applyAlignment="1">
      <alignment wrapText="1"/>
    </xf>
    <xf numFmtId="0" fontId="5" fillId="0" borderId="0" xfId="1" applyFont="1" applyFill="1" applyBorder="1" applyAlignment="1">
      <alignment wrapText="1"/>
    </xf>
    <xf numFmtId="0" fontId="5" fillId="0" borderId="0" xfId="1" applyFont="1" applyFill="1" applyAlignment="1">
      <alignment horizontal="justify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0" fontId="5" fillId="0" borderId="0" xfId="1" applyFont="1" applyFill="1" applyAlignment="1">
      <alignment horizontal="left"/>
    </xf>
    <xf numFmtId="0" fontId="5" fillId="0" borderId="0" xfId="1" applyFont="1" applyFill="1" applyAlignment="1">
      <alignment horizontal="left" vertical="top" wrapText="1"/>
    </xf>
    <xf numFmtId="0" fontId="5" fillId="0" borderId="0" xfId="1" applyFont="1" applyFill="1" applyAlignment="1">
      <alignment horizontal="right" vertical="center"/>
    </xf>
    <xf numFmtId="0" fontId="5" fillId="0" borderId="0" xfId="1" applyFont="1"/>
    <xf numFmtId="0" fontId="9" fillId="0" borderId="0" xfId="1" applyFont="1" applyFill="1" applyAlignment="1">
      <alignment horizontal="center"/>
    </xf>
    <xf numFmtId="166" fontId="1" fillId="0" borderId="1" xfId="0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left" vertical="center" wrapText="1" indent="2"/>
    </xf>
    <xf numFmtId="4" fontId="1" fillId="2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2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4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 indent="2"/>
    </xf>
    <xf numFmtId="0" fontId="5" fillId="2" borderId="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" fontId="5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4" fontId="11" fillId="0" borderId="0" xfId="0" applyNumberFormat="1" applyFont="1" applyAlignment="1">
      <alignment horizontal="center" vertical="center"/>
    </xf>
    <xf numFmtId="4" fontId="5" fillId="5" borderId="1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center" vertical="center"/>
    </xf>
    <xf numFmtId="9" fontId="1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4" fontId="9" fillId="5" borderId="1" xfId="0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5" fillId="0" borderId="0" xfId="1" applyFont="1" applyFill="1" applyAlignment="1">
      <alignment horizontal="left"/>
    </xf>
    <xf numFmtId="0" fontId="5" fillId="0" borderId="2" xfId="1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69" fontId="1" fillId="0" borderId="1" xfId="0" applyNumberFormat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16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1" applyFont="1" applyAlignment="1">
      <alignment horizontal="center" vertical="center"/>
    </xf>
    <xf numFmtId="4" fontId="5" fillId="6" borderId="1" xfId="0" applyNumberFormat="1" applyFont="1" applyFill="1" applyBorder="1" applyAlignment="1">
      <alignment horizontal="center" vertical="center" wrapText="1"/>
    </xf>
    <xf numFmtId="2" fontId="5" fillId="6" borderId="1" xfId="0" applyNumberFormat="1" applyFont="1" applyFill="1" applyBorder="1" applyAlignment="1">
      <alignment horizontal="center" vertical="center"/>
    </xf>
    <xf numFmtId="4" fontId="5" fillId="6" borderId="1" xfId="0" applyNumberFormat="1" applyFont="1" applyFill="1" applyBorder="1" applyAlignment="1">
      <alignment horizontal="center" vertical="center"/>
    </xf>
    <xf numFmtId="169" fontId="1" fillId="6" borderId="1" xfId="0" applyNumberFormat="1" applyFont="1" applyFill="1" applyBorder="1" applyAlignment="1">
      <alignment horizontal="center" vertical="center"/>
    </xf>
    <xf numFmtId="4" fontId="1" fillId="6" borderId="1" xfId="0" applyNumberFormat="1" applyFont="1" applyFill="1" applyBorder="1" applyAlignment="1">
      <alignment horizontal="center" vertical="center" wrapText="1"/>
    </xf>
    <xf numFmtId="2" fontId="1" fillId="6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165" fontId="5" fillId="6" borderId="1" xfId="0" applyNumberFormat="1" applyFont="1" applyFill="1" applyBorder="1" applyAlignment="1">
      <alignment horizontal="center" vertical="center" wrapText="1"/>
    </xf>
    <xf numFmtId="4" fontId="1" fillId="6" borderId="1" xfId="0" applyNumberFormat="1" applyFont="1" applyFill="1" applyBorder="1" applyAlignment="1">
      <alignment horizontal="center" vertical="center"/>
    </xf>
    <xf numFmtId="169" fontId="1" fillId="6" borderId="1" xfId="0" applyNumberFormat="1" applyFont="1" applyFill="1" applyBorder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center" vertical="center" wrapText="1"/>
    </xf>
    <xf numFmtId="2" fontId="5" fillId="6" borderId="1" xfId="0" applyNumberFormat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left"/>
    </xf>
    <xf numFmtId="0" fontId="5" fillId="0" borderId="0" xfId="1" applyFont="1" applyFill="1" applyAlignment="1">
      <alignment horizontal="left" vertical="top" wrapText="1"/>
    </xf>
    <xf numFmtId="0" fontId="5" fillId="0" borderId="0" xfId="1" applyFont="1" applyAlignment="1">
      <alignment wrapText="1"/>
    </xf>
    <xf numFmtId="0" fontId="5" fillId="0" borderId="0" xfId="1" applyFont="1" applyAlignment="1"/>
    <xf numFmtId="0" fontId="9" fillId="0" borderId="0" xfId="1" applyFont="1" applyFill="1" applyAlignment="1">
      <alignment horizontal="center" vertical="center"/>
    </xf>
    <xf numFmtId="49" fontId="5" fillId="0" borderId="0" xfId="1" applyNumberFormat="1" applyFont="1" applyFill="1" applyAlignment="1">
      <alignment horizontal="left" vertical="top" wrapText="1"/>
    </xf>
    <xf numFmtId="168" fontId="5" fillId="0" borderId="0" xfId="1" applyNumberFormat="1" applyFont="1" applyFill="1" applyAlignment="1">
      <alignment horizontal="left" vertical="top" wrapText="1"/>
    </xf>
    <xf numFmtId="170" fontId="5" fillId="0" borderId="0" xfId="1" applyNumberFormat="1" applyFont="1" applyFill="1" applyAlignment="1">
      <alignment horizontal="left" vertical="top" wrapText="1"/>
    </xf>
    <xf numFmtId="0" fontId="5" fillId="0" borderId="0" xfId="1" applyFont="1" applyFill="1" applyAlignment="1">
      <alignment horizontal="left" vertical="top"/>
    </xf>
    <xf numFmtId="49" fontId="5" fillId="0" borderId="2" xfId="1" applyNumberFormat="1" applyFont="1" applyFill="1" applyBorder="1" applyAlignment="1">
      <alignment horizontal="left" vertical="top" wrapText="1"/>
    </xf>
    <xf numFmtId="49" fontId="5" fillId="0" borderId="5" xfId="1" applyNumberFormat="1" applyFont="1" applyFill="1" applyBorder="1" applyAlignment="1">
      <alignment horizontal="left" vertical="top" wrapText="1"/>
    </xf>
    <xf numFmtId="49" fontId="5" fillId="0" borderId="1" xfId="1" applyNumberFormat="1" applyFont="1" applyFill="1" applyBorder="1" applyAlignment="1">
      <alignment horizontal="center" vertical="top" wrapText="1"/>
    </xf>
    <xf numFmtId="49" fontId="5" fillId="0" borderId="3" xfId="1" applyNumberFormat="1" applyFont="1" applyFill="1" applyBorder="1" applyAlignment="1">
      <alignment horizontal="center"/>
    </xf>
    <xf numFmtId="49" fontId="5" fillId="0" borderId="5" xfId="1" applyNumberFormat="1" applyFont="1" applyFill="1" applyBorder="1" applyAlignment="1">
      <alignment horizontal="center"/>
    </xf>
    <xf numFmtId="49" fontId="5" fillId="0" borderId="4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left" vertical="top" wrapText="1"/>
    </xf>
    <xf numFmtId="0" fontId="5" fillId="0" borderId="2" xfId="1" applyFont="1" applyFill="1" applyBorder="1" applyAlignment="1">
      <alignment horizontal="left" vertical="top" wrapText="1"/>
    </xf>
    <xf numFmtId="0" fontId="5" fillId="0" borderId="0" xfId="1" applyFont="1" applyFill="1" applyAlignment="1">
      <alignment horizontal="right" vertical="center"/>
    </xf>
    <xf numFmtId="0" fontId="5" fillId="0" borderId="10" xfId="1" applyFont="1" applyFill="1" applyBorder="1" applyAlignment="1">
      <alignment horizontal="right" vertical="center"/>
    </xf>
    <xf numFmtId="0" fontId="5" fillId="0" borderId="2" xfId="1" applyFont="1" applyBorder="1" applyAlignment="1">
      <alignment horizontal="center" vertical="top"/>
    </xf>
    <xf numFmtId="49" fontId="5" fillId="0" borderId="2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49" fontId="5" fillId="0" borderId="2" xfId="1" applyNumberFormat="1" applyFont="1" applyFill="1" applyBorder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1" applyFont="1" applyAlignment="1">
      <alignment horizontal="left"/>
    </xf>
    <xf numFmtId="0" fontId="5" fillId="5" borderId="0" xfId="1" applyFont="1" applyFill="1" applyAlignment="1">
      <alignment horizontal="left"/>
    </xf>
    <xf numFmtId="0" fontId="5" fillId="0" borderId="2" xfId="1" applyFont="1" applyFill="1" applyBorder="1" applyAlignment="1">
      <alignment horizontal="center"/>
    </xf>
    <xf numFmtId="0" fontId="6" fillId="0" borderId="0" xfId="1" applyFont="1" applyBorder="1" applyAlignment="1">
      <alignment horizontal="center" vertical="top"/>
    </xf>
    <xf numFmtId="0" fontId="5" fillId="0" borderId="0" xfId="1" applyFont="1" applyAlignment="1">
      <alignment horizontal="right"/>
    </xf>
    <xf numFmtId="0" fontId="5" fillId="0" borderId="0" xfId="1" applyFont="1"/>
    <xf numFmtId="0" fontId="5" fillId="0" borderId="0" xfId="1" applyFont="1" applyBorder="1" applyAlignment="1">
      <alignment horizontal="right"/>
    </xf>
    <xf numFmtId="0" fontId="4" fillId="0" borderId="0" xfId="1" applyFont="1" applyAlignment="1">
      <alignment horizontal="right"/>
    </xf>
    <xf numFmtId="0" fontId="6" fillId="0" borderId="0" xfId="1" applyFont="1" applyBorder="1" applyAlignment="1">
      <alignment horizontal="center" vertical="top" wrapText="1"/>
    </xf>
    <xf numFmtId="0" fontId="5" fillId="0" borderId="0" xfId="1" applyFont="1" applyAlignment="1">
      <alignment horizontal="center"/>
    </xf>
    <xf numFmtId="49" fontId="5" fillId="0" borderId="8" xfId="1" applyNumberFormat="1" applyFont="1" applyFill="1" applyBorder="1" applyAlignment="1">
      <alignment horizontal="center"/>
    </xf>
    <xf numFmtId="49" fontId="5" fillId="0" borderId="9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49" fontId="5" fillId="0" borderId="3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0" fontId="5" fillId="0" borderId="3" xfId="1" applyFont="1" applyFill="1" applyBorder="1" applyAlignment="1">
      <alignment horizontal="center" vertical="top"/>
    </xf>
    <xf numFmtId="0" fontId="5" fillId="0" borderId="5" xfId="1" applyFont="1" applyFill="1" applyBorder="1" applyAlignment="1">
      <alignment horizontal="center" vertical="top"/>
    </xf>
    <xf numFmtId="0" fontId="5" fillId="0" borderId="4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left" vertical="top" wrapText="1" indent="3"/>
    </xf>
    <xf numFmtId="0" fontId="5" fillId="0" borderId="9" xfId="1" applyFont="1" applyFill="1" applyBorder="1" applyAlignment="1">
      <alignment horizontal="left" vertical="top" wrapText="1" indent="3"/>
    </xf>
    <xf numFmtId="0" fontId="5" fillId="0" borderId="5" xfId="1" applyFont="1" applyFill="1" applyBorder="1" applyAlignment="1">
      <alignment horizontal="left" vertical="top" wrapText="1" indent="2"/>
    </xf>
    <xf numFmtId="0" fontId="5" fillId="0" borderId="4" xfId="1" applyFont="1" applyFill="1" applyBorder="1" applyAlignment="1">
      <alignment horizontal="left" vertical="top" wrapText="1" indent="2"/>
    </xf>
    <xf numFmtId="0" fontId="5" fillId="0" borderId="5" xfId="1" applyFont="1" applyFill="1" applyBorder="1" applyAlignment="1">
      <alignment horizontal="left" vertical="top" wrapText="1"/>
    </xf>
    <xf numFmtId="0" fontId="5" fillId="0" borderId="4" xfId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center" vertical="top"/>
    </xf>
    <xf numFmtId="0" fontId="5" fillId="0" borderId="12" xfId="1" applyFont="1" applyFill="1" applyBorder="1" applyAlignment="1">
      <alignment horizontal="center" vertical="top"/>
    </xf>
    <xf numFmtId="0" fontId="5" fillId="0" borderId="11" xfId="1" applyFont="1" applyFill="1" applyBorder="1" applyAlignment="1">
      <alignment horizontal="center" vertical="top"/>
    </xf>
    <xf numFmtId="4" fontId="5" fillId="0" borderId="7" xfId="1" applyNumberFormat="1" applyFont="1" applyFill="1" applyBorder="1" applyAlignment="1">
      <alignment horizontal="center" vertical="top"/>
    </xf>
    <xf numFmtId="4" fontId="5" fillId="0" borderId="12" xfId="1" applyNumberFormat="1" applyFont="1" applyFill="1" applyBorder="1" applyAlignment="1">
      <alignment horizontal="center" vertical="top"/>
    </xf>
    <xf numFmtId="4" fontId="5" fillId="0" borderId="11" xfId="1" applyNumberFormat="1" applyFont="1" applyFill="1" applyBorder="1" applyAlignment="1">
      <alignment horizontal="center" vertical="top"/>
    </xf>
    <xf numFmtId="4" fontId="5" fillId="0" borderId="3" xfId="1" applyNumberFormat="1" applyFont="1" applyFill="1" applyBorder="1" applyAlignment="1">
      <alignment horizontal="center" vertical="center"/>
    </xf>
    <xf numFmtId="4" fontId="5" fillId="0" borderId="5" xfId="1" applyNumberFormat="1" applyFont="1" applyFill="1" applyBorder="1" applyAlignment="1">
      <alignment horizontal="center" vertical="center"/>
    </xf>
    <xf numFmtId="4" fontId="5" fillId="0" borderId="4" xfId="1" applyNumberFormat="1" applyFont="1" applyFill="1" applyBorder="1" applyAlignment="1">
      <alignment horizontal="center" vertical="center"/>
    </xf>
    <xf numFmtId="4" fontId="5" fillId="0" borderId="3" xfId="1" applyNumberFormat="1" applyFont="1" applyFill="1" applyBorder="1" applyAlignment="1">
      <alignment horizontal="center" vertical="top"/>
    </xf>
    <xf numFmtId="4" fontId="5" fillId="0" borderId="5" xfId="1" applyNumberFormat="1" applyFont="1" applyFill="1" applyBorder="1" applyAlignment="1">
      <alignment horizontal="center" vertical="top"/>
    </xf>
    <xf numFmtId="4" fontId="5" fillId="0" borderId="4" xfId="1" applyNumberFormat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left" vertical="top" wrapText="1" indent="2"/>
    </xf>
    <xf numFmtId="0" fontId="5" fillId="0" borderId="9" xfId="1" applyFont="1" applyFill="1" applyBorder="1" applyAlignment="1">
      <alignment horizontal="left" vertical="top" wrapText="1" indent="2"/>
    </xf>
    <xf numFmtId="0" fontId="5" fillId="0" borderId="12" xfId="1" applyFont="1" applyFill="1" applyBorder="1" applyAlignment="1">
      <alignment horizontal="left" vertical="top" wrapText="1"/>
    </xf>
    <xf numFmtId="0" fontId="5" fillId="0" borderId="11" xfId="1" applyFont="1" applyFill="1" applyBorder="1" applyAlignment="1">
      <alignment horizontal="left" vertical="top" wrapText="1"/>
    </xf>
    <xf numFmtId="0" fontId="16" fillId="0" borderId="3" xfId="1" applyFont="1" applyFill="1" applyBorder="1" applyAlignment="1">
      <alignment horizontal="center" vertical="top"/>
    </xf>
    <xf numFmtId="0" fontId="16" fillId="0" borderId="5" xfId="1" applyFont="1" applyFill="1" applyBorder="1" applyAlignment="1">
      <alignment horizontal="center" vertical="top"/>
    </xf>
    <xf numFmtId="0" fontId="16" fillId="0" borderId="4" xfId="1" applyFont="1" applyFill="1" applyBorder="1" applyAlignment="1">
      <alignment horizontal="center" vertical="top"/>
    </xf>
    <xf numFmtId="0" fontId="9" fillId="0" borderId="5" xfId="1" applyFont="1" applyFill="1" applyBorder="1" applyAlignment="1">
      <alignment horizontal="left" vertical="top" wrapText="1"/>
    </xf>
    <xf numFmtId="0" fontId="9" fillId="0" borderId="4" xfId="1" applyFont="1" applyFill="1" applyBorder="1" applyAlignment="1">
      <alignment horizontal="left" vertical="top" wrapText="1"/>
    </xf>
    <xf numFmtId="0" fontId="5" fillId="0" borderId="9" xfId="1" applyFont="1" applyFill="1" applyBorder="1" applyAlignment="1">
      <alignment horizontal="left" vertical="top" wrapText="1"/>
    </xf>
    <xf numFmtId="4" fontId="9" fillId="0" borderId="3" xfId="1" applyNumberFormat="1" applyFont="1" applyFill="1" applyBorder="1" applyAlignment="1">
      <alignment horizontal="center" vertical="top"/>
    </xf>
    <xf numFmtId="4" fontId="9" fillId="0" borderId="5" xfId="1" applyNumberFormat="1" applyFont="1" applyFill="1" applyBorder="1" applyAlignment="1">
      <alignment horizontal="center" vertical="top"/>
    </xf>
    <xf numFmtId="4" fontId="9" fillId="0" borderId="4" xfId="1" applyNumberFormat="1" applyFont="1" applyFill="1" applyBorder="1" applyAlignment="1">
      <alignment horizontal="center" vertical="top"/>
    </xf>
    <xf numFmtId="0" fontId="9" fillId="0" borderId="0" xfId="1" applyFont="1" applyFill="1" applyAlignment="1">
      <alignment horizontal="center"/>
    </xf>
    <xf numFmtId="0" fontId="10" fillId="0" borderId="2" xfId="1" applyFont="1" applyFill="1" applyBorder="1" applyAlignment="1">
      <alignment horizontal="left" vertical="top" wrapText="1"/>
    </xf>
    <xf numFmtId="0" fontId="10" fillId="0" borderId="9" xfId="1" applyFont="1" applyFill="1" applyBorder="1" applyAlignment="1">
      <alignment horizontal="left" vertical="top" wrapText="1"/>
    </xf>
    <xf numFmtId="0" fontId="5" fillId="0" borderId="3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4" fontId="9" fillId="0" borderId="7" xfId="1" applyNumberFormat="1" applyFont="1" applyFill="1" applyBorder="1" applyAlignment="1">
      <alignment horizontal="center" vertical="top"/>
    </xf>
    <xf numFmtId="0" fontId="9" fillId="0" borderId="12" xfId="1" applyFont="1" applyFill="1" applyBorder="1" applyAlignment="1">
      <alignment horizontal="center" vertical="top"/>
    </xf>
    <xf numFmtId="0" fontId="9" fillId="0" borderId="11" xfId="1" applyFont="1" applyFill="1" applyBorder="1" applyAlignment="1">
      <alignment horizontal="center" vertical="top"/>
    </xf>
    <xf numFmtId="2" fontId="5" fillId="0" borderId="3" xfId="1" applyNumberFormat="1" applyFont="1" applyFill="1" applyBorder="1" applyAlignment="1">
      <alignment horizontal="center" vertical="top"/>
    </xf>
    <xf numFmtId="2" fontId="5" fillId="0" borderId="5" xfId="1" applyNumberFormat="1" applyFont="1" applyFill="1" applyBorder="1" applyAlignment="1">
      <alignment horizontal="center" vertical="top"/>
    </xf>
    <xf numFmtId="2" fontId="5" fillId="0" borderId="4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/>
    </xf>
    <xf numFmtId="0" fontId="10" fillId="0" borderId="7" xfId="1" applyFont="1" applyFill="1" applyBorder="1" applyAlignment="1">
      <alignment horizontal="center" vertical="top"/>
    </xf>
    <xf numFmtId="0" fontId="10" fillId="0" borderId="12" xfId="1" applyFont="1" applyFill="1" applyBorder="1" applyAlignment="1">
      <alignment horizontal="center" vertical="top"/>
    </xf>
    <xf numFmtId="0" fontId="10" fillId="0" borderId="11" xfId="1" applyFont="1" applyFill="1" applyBorder="1" applyAlignment="1">
      <alignment horizontal="center" vertical="top"/>
    </xf>
    <xf numFmtId="4" fontId="5" fillId="0" borderId="3" xfId="1" applyNumberFormat="1" applyFont="1" applyFill="1" applyBorder="1" applyAlignment="1">
      <alignment horizontal="center" vertical="top" wrapText="1"/>
    </xf>
    <xf numFmtId="4" fontId="5" fillId="0" borderId="5" xfId="1" applyNumberFormat="1" applyFont="1" applyFill="1" applyBorder="1" applyAlignment="1">
      <alignment horizontal="center" vertical="top" wrapText="1"/>
    </xf>
    <xf numFmtId="4" fontId="5" fillId="0" borderId="4" xfId="1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9" fillId="0" borderId="0" xfId="1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124</xdr:col>
      <xdr:colOff>30153</xdr:colOff>
      <xdr:row>38</xdr:row>
      <xdr:rowOff>606669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13115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912315</xdr:colOff>
      <xdr:row>37</xdr:row>
      <xdr:rowOff>66675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13115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6;&#1072;&#1089;&#1095;&#1077;&#1090;%20&#1086;&#1090;%2025.10.2019/&#1055;&#1060;&#1061;&#1044;%20%20%20&#1086;&#1090;%2025.10.2019.2019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1"/>
      <sheetName val="Стр.2-3"/>
      <sheetName val="Стр.4-5"/>
      <sheetName val="2020 "/>
      <sheetName val="2021"/>
      <sheetName val="Стр.6"/>
      <sheetName val="Стр 7"/>
      <sheetName val="стр 8-10"/>
      <sheetName val="стр.11"/>
    </sheetNames>
    <sheetDataSet>
      <sheetData sheetId="0" refreshError="1"/>
      <sheetData sheetId="1" refreshError="1"/>
      <sheetData sheetId="2">
        <row r="53">
          <cell r="D53">
            <v>3688664.31</v>
          </cell>
        </row>
      </sheetData>
      <sheetData sheetId="3">
        <row r="53">
          <cell r="D53">
            <v>2378837.7299999995</v>
          </cell>
        </row>
      </sheetData>
      <sheetData sheetId="4">
        <row r="53">
          <cell r="D53">
            <v>2598837.7299999995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47"/>
  <sheetViews>
    <sheetView tabSelected="1" zoomScale="130" zoomScaleNormal="130" zoomScaleSheetLayoutView="100" workbookViewId="0"/>
  </sheetViews>
  <sheetFormatPr defaultColWidth="0.85546875" defaultRowHeight="12.75" x14ac:dyDescent="0.2"/>
  <cols>
    <col min="1" max="100" width="0.85546875" style="91"/>
    <col min="101" max="101" width="0.85546875" style="91" customWidth="1"/>
    <col min="102" max="107" width="0.85546875" style="91"/>
    <col min="108" max="108" width="1.140625" style="91" customWidth="1"/>
    <col min="109" max="126" width="0.85546875" style="91"/>
    <col min="127" max="127" width="10.85546875" style="91" customWidth="1"/>
    <col min="128" max="16384" width="0.85546875" style="91"/>
  </cols>
  <sheetData>
    <row r="1" spans="1:127" s="3" customFormat="1" ht="11.25" customHeight="1" x14ac:dyDescent="0.2"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6"/>
      <c r="CE1" s="196"/>
      <c r="CF1" s="196"/>
      <c r="CG1" s="196"/>
      <c r="CH1" s="196"/>
      <c r="CI1" s="196"/>
      <c r="CJ1" s="196"/>
      <c r="CK1" s="196"/>
      <c r="CL1" s="196"/>
      <c r="CM1" s="196"/>
      <c r="CN1" s="196"/>
      <c r="CO1" s="196"/>
      <c r="CP1" s="196"/>
      <c r="CQ1" s="196"/>
      <c r="CR1" s="196"/>
      <c r="CS1" s="196"/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/>
    </row>
    <row r="2" spans="1:127" s="3" customFormat="1" ht="11.25" customHeight="1" x14ac:dyDescent="0.2">
      <c r="BE2" s="196"/>
      <c r="BF2" s="196"/>
      <c r="BG2" s="196"/>
      <c r="BH2" s="196"/>
      <c r="BI2" s="196"/>
      <c r="BJ2" s="196"/>
      <c r="BK2" s="196"/>
      <c r="BL2" s="196"/>
      <c r="BM2" s="196"/>
      <c r="BN2" s="196"/>
      <c r="BO2" s="196"/>
      <c r="BP2" s="196"/>
      <c r="BQ2" s="196"/>
      <c r="BR2" s="196"/>
      <c r="BS2" s="196"/>
      <c r="BT2" s="196"/>
      <c r="BU2" s="196"/>
      <c r="BV2" s="196"/>
      <c r="BW2" s="196"/>
      <c r="BX2" s="196"/>
      <c r="BY2" s="196"/>
      <c r="BZ2" s="196"/>
      <c r="CA2" s="196"/>
      <c r="CB2" s="196"/>
      <c r="CC2" s="196"/>
      <c r="CD2" s="196"/>
      <c r="CE2" s="196"/>
      <c r="CF2" s="196"/>
      <c r="CG2" s="196"/>
      <c r="CH2" s="196"/>
      <c r="CI2" s="196"/>
      <c r="CJ2" s="196"/>
      <c r="CK2" s="196"/>
      <c r="CL2" s="196"/>
      <c r="CM2" s="196"/>
      <c r="CN2" s="196"/>
      <c r="CO2" s="196"/>
      <c r="CP2" s="196"/>
      <c r="CQ2" s="196"/>
      <c r="CR2" s="196"/>
      <c r="CS2" s="196"/>
      <c r="CT2" s="196"/>
      <c r="CU2" s="196"/>
      <c r="CV2" s="196"/>
      <c r="CW2" s="196"/>
      <c r="CX2" s="196"/>
      <c r="CY2" s="196"/>
      <c r="CZ2" s="196"/>
      <c r="DA2" s="196"/>
      <c r="DB2" s="196"/>
      <c r="DC2" s="196"/>
      <c r="DD2" s="196"/>
    </row>
    <row r="3" spans="1:127" s="3" customFormat="1" ht="11.25" customHeight="1" x14ac:dyDescent="0.2"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</row>
    <row r="4" spans="1:127" x14ac:dyDescent="0.2">
      <c r="DW4" s="3"/>
    </row>
    <row r="5" spans="1:127" x14ac:dyDescent="0.2">
      <c r="A5" s="189" t="s">
        <v>171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BE5" s="198" t="s">
        <v>21</v>
      </c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  <c r="CB5" s="198"/>
      <c r="CC5" s="198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  <c r="CQ5" s="198"/>
      <c r="CR5" s="198"/>
      <c r="CS5" s="198"/>
      <c r="CT5" s="198"/>
      <c r="CU5" s="198"/>
      <c r="CV5" s="198"/>
      <c r="CW5" s="198"/>
      <c r="CX5" s="198"/>
      <c r="CY5" s="198"/>
      <c r="CZ5" s="198"/>
      <c r="DA5" s="198"/>
      <c r="DB5" s="198"/>
      <c r="DC5" s="198"/>
      <c r="DD5" s="198"/>
      <c r="DW5" s="3"/>
    </row>
    <row r="6" spans="1:127" x14ac:dyDescent="0.2">
      <c r="A6" s="189" t="s">
        <v>172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BE6" s="191" t="s">
        <v>285</v>
      </c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W6" s="3"/>
    </row>
    <row r="7" spans="1:127" s="5" customFormat="1" ht="12.75" customHeight="1" x14ac:dyDescent="0.2">
      <c r="A7" s="189" t="s">
        <v>173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BE7" s="197" t="s">
        <v>36</v>
      </c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W7" s="3"/>
    </row>
    <row r="8" spans="1:127" x14ac:dyDescent="0.2">
      <c r="A8" s="190" t="s">
        <v>290</v>
      </c>
      <c r="B8" s="190"/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Z8" s="191" t="s">
        <v>286</v>
      </c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1"/>
      <c r="CX8" s="191"/>
      <c r="CY8" s="191"/>
      <c r="CZ8" s="191"/>
      <c r="DA8" s="191"/>
      <c r="DB8" s="191"/>
      <c r="DC8" s="191"/>
      <c r="DD8" s="191"/>
      <c r="DW8" s="3"/>
    </row>
    <row r="9" spans="1:127" s="5" customFormat="1" ht="12.75" customHeight="1" x14ac:dyDescent="0.2">
      <c r="BE9" s="192" t="s">
        <v>22</v>
      </c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Z9" s="192" t="s">
        <v>29</v>
      </c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</row>
    <row r="10" spans="1:127" x14ac:dyDescent="0.2">
      <c r="BE10" s="6"/>
      <c r="BF10" s="6"/>
      <c r="BG10" s="6"/>
      <c r="BH10" s="6"/>
      <c r="BI10" s="6"/>
      <c r="BJ10" s="6"/>
      <c r="BK10" s="6"/>
      <c r="BL10" s="6"/>
      <c r="BM10" s="6"/>
      <c r="BN10" s="193" t="s">
        <v>37</v>
      </c>
      <c r="BO10" s="193"/>
      <c r="BP10" s="184" t="s">
        <v>291</v>
      </c>
      <c r="BQ10" s="184"/>
      <c r="BR10" s="184"/>
      <c r="BS10" s="184"/>
      <c r="BT10" s="194" t="s">
        <v>37</v>
      </c>
      <c r="BU10" s="194"/>
      <c r="BV10" s="184" t="s">
        <v>292</v>
      </c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95"/>
      <c r="CL10" s="195"/>
      <c r="CM10" s="195"/>
      <c r="CN10" s="186" t="s">
        <v>264</v>
      </c>
      <c r="CO10" s="186"/>
      <c r="CP10" s="186"/>
      <c r="CQ10" s="186"/>
      <c r="CR10" s="91" t="s">
        <v>38</v>
      </c>
    </row>
    <row r="11" spans="1:127" x14ac:dyDescent="0.2">
      <c r="CY11" s="7"/>
    </row>
    <row r="12" spans="1:127" s="8" customFormat="1" ht="15.75" x14ac:dyDescent="0.25">
      <c r="A12" s="187" t="s">
        <v>39</v>
      </c>
      <c r="B12" s="187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</row>
    <row r="13" spans="1:127" s="13" customFormat="1" ht="15.75" x14ac:dyDescent="0.25">
      <c r="A13" s="188" t="s">
        <v>265</v>
      </c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</row>
    <row r="14" spans="1:127" ht="17.25" customHeight="1" x14ac:dyDescent="0.2">
      <c r="CO14" s="183" t="s">
        <v>30</v>
      </c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  <c r="CZ14" s="183"/>
      <c r="DA14" s="183"/>
      <c r="DB14" s="183"/>
      <c r="DC14" s="183"/>
      <c r="DD14" s="183"/>
    </row>
    <row r="15" spans="1:127" ht="13.5" customHeight="1" x14ac:dyDescent="0.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0"/>
      <c r="CE15" s="60"/>
      <c r="CF15" s="60"/>
      <c r="CG15" s="60"/>
      <c r="CH15" s="60"/>
      <c r="CI15" s="60"/>
      <c r="CJ15" s="60"/>
      <c r="CK15" s="60"/>
      <c r="CL15" s="60"/>
      <c r="CM15" s="90" t="s">
        <v>23</v>
      </c>
      <c r="CN15" s="60"/>
      <c r="CO15" s="176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8"/>
    </row>
    <row r="16" spans="1:127" ht="13.5" customHeight="1" x14ac:dyDescent="0.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1"/>
      <c r="AM16" s="62" t="s">
        <v>37</v>
      </c>
      <c r="AN16" s="184" t="s">
        <v>291</v>
      </c>
      <c r="AO16" s="184"/>
      <c r="AP16" s="184"/>
      <c r="AQ16" s="184"/>
      <c r="AR16" s="61" t="s">
        <v>37</v>
      </c>
      <c r="AS16" s="61"/>
      <c r="AT16" s="6"/>
      <c r="AU16" s="184" t="s">
        <v>293</v>
      </c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5">
        <v>20</v>
      </c>
      <c r="BK16" s="185"/>
      <c r="BL16" s="185"/>
      <c r="BM16" s="185"/>
      <c r="BN16" s="186" t="s">
        <v>264</v>
      </c>
      <c r="BO16" s="186"/>
      <c r="BP16" s="186"/>
      <c r="BQ16" s="61" t="s">
        <v>38</v>
      </c>
      <c r="BR16" s="61"/>
      <c r="BS16" s="61"/>
      <c r="BT16" s="6"/>
      <c r="BU16" s="6"/>
      <c r="BV16" s="6"/>
      <c r="BW16" s="6"/>
      <c r="BX16" s="6"/>
      <c r="BY16" s="63"/>
      <c r="BZ16" s="6"/>
      <c r="CA16" s="6"/>
      <c r="CB16" s="6"/>
      <c r="CC16" s="6"/>
      <c r="CD16" s="181" t="s">
        <v>24</v>
      </c>
      <c r="CE16" s="181"/>
      <c r="CF16" s="181"/>
      <c r="CG16" s="181"/>
      <c r="CH16" s="181"/>
      <c r="CI16" s="181"/>
      <c r="CJ16" s="181"/>
      <c r="CK16" s="181"/>
      <c r="CL16" s="181"/>
      <c r="CM16" s="181"/>
      <c r="CN16" s="182"/>
      <c r="CO16" s="176" t="s">
        <v>294</v>
      </c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8"/>
    </row>
    <row r="17" spans="1:108" ht="13.5" customHeight="1" x14ac:dyDescent="0.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3"/>
      <c r="BZ17" s="63"/>
      <c r="CA17" s="6"/>
      <c r="CB17" s="6"/>
      <c r="CC17" s="6"/>
      <c r="CD17" s="60"/>
      <c r="CE17" s="60"/>
      <c r="CF17" s="60"/>
      <c r="CG17" s="60"/>
      <c r="CH17" s="60"/>
      <c r="CI17" s="60"/>
      <c r="CJ17" s="60"/>
      <c r="CK17" s="60"/>
      <c r="CL17" s="60"/>
      <c r="CM17" s="90"/>
      <c r="CN17" s="60"/>
      <c r="CO17" s="176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8"/>
    </row>
    <row r="18" spans="1:108" ht="13.5" customHeight="1" x14ac:dyDescent="0.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3"/>
      <c r="BZ18" s="63"/>
      <c r="CA18" s="6"/>
      <c r="CB18" s="6"/>
      <c r="CC18" s="6"/>
      <c r="CD18" s="60"/>
      <c r="CE18" s="60"/>
      <c r="CF18" s="60"/>
      <c r="CG18" s="60"/>
      <c r="CH18" s="60"/>
      <c r="CI18" s="60"/>
      <c r="CJ18" s="60"/>
      <c r="CK18" s="60"/>
      <c r="CL18" s="60"/>
      <c r="CM18" s="90"/>
      <c r="CN18" s="60"/>
      <c r="CO18" s="176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8"/>
    </row>
    <row r="19" spans="1:108" ht="13.5" customHeight="1" x14ac:dyDescent="0.2">
      <c r="A19" s="88" t="s">
        <v>40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79" t="s">
        <v>280</v>
      </c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6"/>
      <c r="CA19" s="6"/>
      <c r="CB19" s="181" t="s">
        <v>25</v>
      </c>
      <c r="CC19" s="181"/>
      <c r="CD19" s="181"/>
      <c r="CE19" s="181"/>
      <c r="CF19" s="181"/>
      <c r="CG19" s="181"/>
      <c r="CH19" s="181"/>
      <c r="CI19" s="181"/>
      <c r="CJ19" s="181"/>
      <c r="CK19" s="181"/>
      <c r="CL19" s="181"/>
      <c r="CM19" s="181"/>
      <c r="CN19" s="182"/>
      <c r="CO19" s="176" t="s">
        <v>174</v>
      </c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8"/>
    </row>
    <row r="20" spans="1:108" ht="42.75" customHeight="1" x14ac:dyDescent="0.2">
      <c r="A20" s="88" t="s">
        <v>41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63"/>
      <c r="CA20" s="6"/>
      <c r="CB20" s="181" t="s">
        <v>31</v>
      </c>
      <c r="CC20" s="181"/>
      <c r="CD20" s="181"/>
      <c r="CE20" s="181"/>
      <c r="CF20" s="181"/>
      <c r="CG20" s="181"/>
      <c r="CH20" s="181"/>
      <c r="CI20" s="181"/>
      <c r="CJ20" s="181"/>
      <c r="CK20" s="181"/>
      <c r="CL20" s="181"/>
      <c r="CM20" s="181"/>
      <c r="CN20" s="182"/>
      <c r="CO20" s="176" t="s">
        <v>175</v>
      </c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8"/>
    </row>
    <row r="21" spans="1:108" ht="13.5" customHeight="1" x14ac:dyDescent="0.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3"/>
      <c r="BZ21" s="63"/>
      <c r="CA21" s="6"/>
      <c r="CB21" s="181" t="s">
        <v>32</v>
      </c>
      <c r="CC21" s="181"/>
      <c r="CD21" s="181"/>
      <c r="CE21" s="181"/>
      <c r="CF21" s="181"/>
      <c r="CG21" s="181"/>
      <c r="CH21" s="181"/>
      <c r="CI21" s="181"/>
      <c r="CJ21" s="181"/>
      <c r="CK21" s="181"/>
      <c r="CL21" s="181"/>
      <c r="CM21" s="181"/>
      <c r="CN21" s="182"/>
      <c r="CO21" s="199" t="s">
        <v>176</v>
      </c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200"/>
    </row>
    <row r="22" spans="1:108" ht="13.5" customHeight="1" x14ac:dyDescent="0.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3"/>
      <c r="BZ22" s="63"/>
      <c r="CA22" s="6"/>
      <c r="CB22" s="181" t="s">
        <v>33</v>
      </c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2"/>
      <c r="CO22" s="199" t="s">
        <v>247</v>
      </c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200"/>
    </row>
    <row r="23" spans="1:108" s="10" customFormat="1" ht="20.25" customHeight="1" x14ac:dyDescent="0.25">
      <c r="A23" s="64" t="s">
        <v>42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181" t="s">
        <v>27</v>
      </c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2"/>
      <c r="CO23" s="203" t="s">
        <v>43</v>
      </c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5"/>
    </row>
    <row r="24" spans="1:108" ht="39.75" customHeight="1" x14ac:dyDescent="0.2">
      <c r="A24" s="165" t="s">
        <v>44</v>
      </c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80" t="s">
        <v>177</v>
      </c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1"/>
      <c r="CA24" s="11"/>
      <c r="CB24" s="201" t="s">
        <v>26</v>
      </c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2"/>
      <c r="CO24" s="203" t="s">
        <v>178</v>
      </c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5"/>
    </row>
    <row r="25" spans="1:108" ht="6" customHeight="1" x14ac:dyDescent="0.2">
      <c r="A25" s="88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6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2"/>
      <c r="CP25" s="12"/>
      <c r="CQ25" s="12"/>
      <c r="CR25" s="12"/>
      <c r="CS25" s="12"/>
      <c r="CT25" s="12"/>
      <c r="CU25" s="12"/>
      <c r="CV25" s="12"/>
      <c r="CW25" s="6"/>
      <c r="CX25" s="6"/>
      <c r="CY25" s="6"/>
      <c r="CZ25" s="6"/>
      <c r="DA25" s="6"/>
      <c r="DB25" s="6"/>
      <c r="DC25" s="6"/>
      <c r="DD25" s="6"/>
    </row>
    <row r="26" spans="1:108" ht="30" customHeight="1" x14ac:dyDescent="0.2">
      <c r="A26" s="165" t="s">
        <v>49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73" t="s">
        <v>266</v>
      </c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</row>
    <row r="27" spans="1:108" ht="30" customHeight="1" x14ac:dyDescent="0.2">
      <c r="A27" s="165" t="s">
        <v>45</v>
      </c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74" t="s">
        <v>266</v>
      </c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</row>
    <row r="28" spans="1:108" ht="6" customHeight="1" x14ac:dyDescent="0.2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</row>
    <row r="29" spans="1:108" ht="27.75" customHeight="1" x14ac:dyDescent="0.2">
      <c r="A29" s="165" t="s">
        <v>48</v>
      </c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4"/>
      <c r="BX29" s="14"/>
      <c r="BY29" s="175" t="s">
        <v>179</v>
      </c>
      <c r="BZ29" s="175"/>
      <c r="CA29" s="175"/>
      <c r="CB29" s="175"/>
      <c r="CC29" s="175" t="s">
        <v>180</v>
      </c>
      <c r="CD29" s="175"/>
      <c r="CE29" s="175"/>
      <c r="CF29" s="175"/>
      <c r="CG29" s="175" t="s">
        <v>181</v>
      </c>
      <c r="CH29" s="175"/>
      <c r="CI29" s="175"/>
      <c r="CJ29" s="175"/>
      <c r="CK29" s="175" t="s">
        <v>193</v>
      </c>
      <c r="CL29" s="175"/>
      <c r="CM29" s="175"/>
      <c r="CN29" s="175"/>
      <c r="CO29" s="175" t="s">
        <v>182</v>
      </c>
      <c r="CP29" s="175"/>
      <c r="CQ29" s="175"/>
      <c r="CR29" s="175"/>
      <c r="CS29" s="175" t="s">
        <v>183</v>
      </c>
      <c r="CT29" s="175"/>
      <c r="CU29" s="175"/>
      <c r="CV29" s="175"/>
      <c r="CW29" s="175" t="s">
        <v>179</v>
      </c>
      <c r="CX29" s="175"/>
      <c r="CY29" s="175"/>
      <c r="CZ29" s="175"/>
      <c r="DA29" s="175" t="s">
        <v>184</v>
      </c>
      <c r="DB29" s="175"/>
      <c r="DC29" s="175"/>
      <c r="DD29" s="175"/>
    </row>
    <row r="30" spans="1:108" ht="15" customHeight="1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</row>
    <row r="31" spans="1:108" s="9" customFormat="1" ht="15" customHeight="1" x14ac:dyDescent="0.2">
      <c r="A31" s="168" t="s">
        <v>93</v>
      </c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</row>
    <row r="32" spans="1:108" s="9" customFormat="1" ht="15" customHeight="1" x14ac:dyDescent="0.2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</row>
    <row r="33" spans="1:108" ht="15" customHeight="1" x14ac:dyDescent="0.2">
      <c r="A33" s="164" t="s">
        <v>46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</row>
    <row r="34" spans="1:108" ht="31.5" customHeight="1" x14ac:dyDescent="0.2">
      <c r="A34" s="169" t="s">
        <v>185</v>
      </c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</row>
    <row r="35" spans="1:108" ht="15" customHeight="1" x14ac:dyDescent="0.2">
      <c r="A35" s="164" t="s">
        <v>47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</row>
    <row r="36" spans="1:108" ht="38.25" customHeight="1" x14ac:dyDescent="0.2">
      <c r="A36" s="169" t="s">
        <v>277</v>
      </c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</row>
    <row r="37" spans="1:108" ht="15.75" customHeight="1" x14ac:dyDescent="0.2">
      <c r="A37" s="164" t="s">
        <v>50</v>
      </c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</row>
    <row r="38" spans="1:108" ht="104.25" customHeight="1" x14ac:dyDescent="0.2">
      <c r="A38" s="170" t="s">
        <v>257</v>
      </c>
      <c r="B38" s="170"/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</row>
    <row r="39" spans="1:108" ht="50.25" customHeight="1" x14ac:dyDescent="0.2">
      <c r="A39" s="171" t="s">
        <v>258</v>
      </c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</row>
    <row r="40" spans="1:108" ht="15" customHeight="1" x14ac:dyDescent="0.2">
      <c r="A40" s="172" t="s">
        <v>256</v>
      </c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</row>
    <row r="41" spans="1:108" ht="201" customHeight="1" x14ac:dyDescent="0.2">
      <c r="A41" s="171" t="s">
        <v>279</v>
      </c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</row>
    <row r="42" spans="1:108" ht="39.75" customHeight="1" x14ac:dyDescent="0.2">
      <c r="A42" s="165" t="s">
        <v>259</v>
      </c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</row>
    <row r="43" spans="1:108" ht="15" customHeight="1" x14ac:dyDescent="0.2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</row>
    <row r="44" spans="1:108" ht="15" customHeight="1" x14ac:dyDescent="0.2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</row>
    <row r="45" spans="1:108" ht="15" customHeight="1" x14ac:dyDescent="0.2">
      <c r="A45" s="165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</row>
    <row r="46" spans="1:108" ht="37.5" customHeight="1" x14ac:dyDescent="0.2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6"/>
      <c r="BP46" s="166"/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</row>
    <row r="47" spans="1:108" x14ac:dyDescent="0.2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</row>
  </sheetData>
  <mergeCells count="74">
    <mergeCell ref="A24:AN24"/>
    <mergeCell ref="AO24:BY24"/>
    <mergeCell ref="CO18:DD18"/>
    <mergeCell ref="CO21:DD21"/>
    <mergeCell ref="CO22:DD22"/>
    <mergeCell ref="CB24:CN24"/>
    <mergeCell ref="CB23:CN23"/>
    <mergeCell ref="CO23:DD23"/>
    <mergeCell ref="CO24:DD24"/>
    <mergeCell ref="CO19:DD19"/>
    <mergeCell ref="CO20:DD20"/>
    <mergeCell ref="CB22:CN22"/>
    <mergeCell ref="BE1:DD1"/>
    <mergeCell ref="BE2:DD2"/>
    <mergeCell ref="BE3:DD3"/>
    <mergeCell ref="BE7:DD7"/>
    <mergeCell ref="BE5:DD5"/>
    <mergeCell ref="BE6:DD6"/>
    <mergeCell ref="A12:DD12"/>
    <mergeCell ref="A13:DD13"/>
    <mergeCell ref="A5:AH5"/>
    <mergeCell ref="A6:AH6"/>
    <mergeCell ref="A7:AH7"/>
    <mergeCell ref="A8:AH8"/>
    <mergeCell ref="BE8:BX8"/>
    <mergeCell ref="BZ8:DD8"/>
    <mergeCell ref="BE9:BX9"/>
    <mergeCell ref="BZ9:DD9"/>
    <mergeCell ref="BN10:BO10"/>
    <mergeCell ref="BP10:BS10"/>
    <mergeCell ref="BT10:BU10"/>
    <mergeCell ref="BV10:CJ10"/>
    <mergeCell ref="CK10:CM10"/>
    <mergeCell ref="CN10:CQ10"/>
    <mergeCell ref="CO14:DD14"/>
    <mergeCell ref="CO15:DD15"/>
    <mergeCell ref="AN16:AQ16"/>
    <mergeCell ref="AU16:BI16"/>
    <mergeCell ref="BJ16:BM16"/>
    <mergeCell ref="BN16:BP16"/>
    <mergeCell ref="CD16:CN16"/>
    <mergeCell ref="CO16:DD16"/>
    <mergeCell ref="CO17:DD17"/>
    <mergeCell ref="AF19:BY20"/>
    <mergeCell ref="CB19:CN19"/>
    <mergeCell ref="CB20:CN20"/>
    <mergeCell ref="CB21:CN21"/>
    <mergeCell ref="A26:AN26"/>
    <mergeCell ref="AO26:DD26"/>
    <mergeCell ref="A27:AN27"/>
    <mergeCell ref="AO27:DD27"/>
    <mergeCell ref="A29:BV29"/>
    <mergeCell ref="BY29:CB29"/>
    <mergeCell ref="CC29:CF29"/>
    <mergeCell ref="CG29:CJ29"/>
    <mergeCell ref="CK29:CN29"/>
    <mergeCell ref="CO29:CR29"/>
    <mergeCell ref="CS29:CV29"/>
    <mergeCell ref="CW29:CZ29"/>
    <mergeCell ref="DA29:DD29"/>
    <mergeCell ref="A37:BV37"/>
    <mergeCell ref="A45:DD45"/>
    <mergeCell ref="A46:DD46"/>
    <mergeCell ref="A47:DD47"/>
    <mergeCell ref="A31:DD31"/>
    <mergeCell ref="A33:AX33"/>
    <mergeCell ref="A34:DD34"/>
    <mergeCell ref="A35:AX35"/>
    <mergeCell ref="A36:DD36"/>
    <mergeCell ref="A38:DD38"/>
    <mergeCell ref="A39:DD39"/>
    <mergeCell ref="A40:DD40"/>
    <mergeCell ref="A41:DD41"/>
    <mergeCell ref="A42:DD42"/>
  </mergeCells>
  <pageMargins left="0.70866141732283472" right="0.27559055118110237" top="0.41" bottom="0.39370078740157483" header="0.19685039370078741" footer="0.19685039370078741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72"/>
  <sheetViews>
    <sheetView zoomScaleNormal="100" zoomScaleSheetLayoutView="100" workbookViewId="0">
      <selection activeCell="BU36" sqref="BU36:DD36"/>
    </sheetView>
  </sheetViews>
  <sheetFormatPr defaultColWidth="0.85546875" defaultRowHeight="12.75" x14ac:dyDescent="0.2"/>
  <cols>
    <col min="1" max="16384" width="0.85546875" style="4"/>
  </cols>
  <sheetData>
    <row r="1" spans="1:183" ht="16.5" customHeight="1" x14ac:dyDescent="0.2">
      <c r="A1" s="168" t="s">
        <v>101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  <c r="CB1" s="168"/>
      <c r="CC1" s="168"/>
      <c r="CD1" s="168"/>
      <c r="CE1" s="168"/>
      <c r="CF1" s="168"/>
      <c r="CG1" s="168"/>
      <c r="CH1" s="168"/>
      <c r="CI1" s="168"/>
      <c r="CJ1" s="168"/>
      <c r="CK1" s="168"/>
      <c r="CL1" s="168"/>
      <c r="CM1" s="168"/>
      <c r="CN1" s="168"/>
      <c r="CO1" s="168"/>
      <c r="CP1" s="168"/>
      <c r="CQ1" s="168"/>
      <c r="CR1" s="168"/>
      <c r="CS1" s="168"/>
      <c r="CT1" s="168"/>
      <c r="CU1" s="168"/>
      <c r="CV1" s="168"/>
      <c r="CW1" s="168"/>
      <c r="CX1" s="168"/>
      <c r="CY1" s="168"/>
      <c r="CZ1" s="168"/>
      <c r="DA1" s="168"/>
      <c r="DB1" s="168"/>
      <c r="DC1" s="168"/>
      <c r="DD1" s="168"/>
    </row>
    <row r="2" spans="1:183" x14ac:dyDescent="0.2">
      <c r="A2" s="240" t="s">
        <v>94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</row>
    <row r="3" spans="1:183" x14ac:dyDescent="0.2">
      <c r="A3" s="240" t="s">
        <v>272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</row>
    <row r="4" spans="1:183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</row>
    <row r="5" spans="1:183" ht="3" customHeight="1" x14ac:dyDescent="0.2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</row>
    <row r="6" spans="1:183" ht="15" customHeight="1" x14ac:dyDescent="0.2">
      <c r="A6" s="243" t="s">
        <v>0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244"/>
      <c r="BF6" s="244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244"/>
      <c r="BS6" s="244"/>
      <c r="BT6" s="245"/>
      <c r="BU6" s="243" t="s">
        <v>61</v>
      </c>
      <c r="BV6" s="244"/>
      <c r="BW6" s="244"/>
      <c r="BX6" s="244"/>
      <c r="BY6" s="244"/>
      <c r="BZ6" s="244"/>
      <c r="CA6" s="244"/>
      <c r="CB6" s="244"/>
      <c r="CC6" s="244"/>
      <c r="CD6" s="244"/>
      <c r="CE6" s="244"/>
      <c r="CF6" s="244"/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244"/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5"/>
    </row>
    <row r="7" spans="1:183" s="9" customFormat="1" ht="15" customHeight="1" x14ac:dyDescent="0.2">
      <c r="A7" s="30"/>
      <c r="B7" s="234" t="s">
        <v>56</v>
      </c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4"/>
      <c r="AZ7" s="234"/>
      <c r="BA7" s="234"/>
      <c r="BB7" s="234"/>
      <c r="BC7" s="234"/>
      <c r="BD7" s="234"/>
      <c r="BE7" s="234"/>
      <c r="BF7" s="234"/>
      <c r="BG7" s="234"/>
      <c r="BH7" s="234"/>
      <c r="BI7" s="234"/>
      <c r="BJ7" s="234"/>
      <c r="BK7" s="234"/>
      <c r="BL7" s="234"/>
      <c r="BM7" s="234"/>
      <c r="BN7" s="234"/>
      <c r="BO7" s="234"/>
      <c r="BP7" s="234"/>
      <c r="BQ7" s="234"/>
      <c r="BR7" s="234"/>
      <c r="BS7" s="234"/>
      <c r="BT7" s="235"/>
      <c r="BU7" s="246">
        <v>38210833.049999997</v>
      </c>
      <c r="BV7" s="247"/>
      <c r="BW7" s="247"/>
      <c r="BX7" s="247"/>
      <c r="BY7" s="247"/>
      <c r="BZ7" s="247"/>
      <c r="CA7" s="247"/>
      <c r="CB7" s="247"/>
      <c r="CC7" s="247"/>
      <c r="CD7" s="247"/>
      <c r="CE7" s="247"/>
      <c r="CF7" s="247"/>
      <c r="CG7" s="247"/>
      <c r="CH7" s="247"/>
      <c r="CI7" s="247"/>
      <c r="CJ7" s="247"/>
      <c r="CK7" s="247"/>
      <c r="CL7" s="247"/>
      <c r="CM7" s="247"/>
      <c r="CN7" s="247"/>
      <c r="CO7" s="247"/>
      <c r="CP7" s="247"/>
      <c r="CQ7" s="247"/>
      <c r="CR7" s="247"/>
      <c r="CS7" s="247"/>
      <c r="CT7" s="247"/>
      <c r="CU7" s="247"/>
      <c r="CV7" s="247"/>
      <c r="CW7" s="247"/>
      <c r="CX7" s="247"/>
      <c r="CY7" s="247"/>
      <c r="CZ7" s="247"/>
      <c r="DA7" s="247"/>
      <c r="DB7" s="247"/>
      <c r="DC7" s="247"/>
      <c r="DD7" s="248"/>
    </row>
    <row r="8" spans="1:183" s="16" customFormat="1" ht="15" customHeight="1" x14ac:dyDescent="0.2">
      <c r="A8" s="31"/>
      <c r="B8" s="241" t="s">
        <v>8</v>
      </c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241"/>
      <c r="AX8" s="241"/>
      <c r="AY8" s="241"/>
      <c r="AZ8" s="241"/>
      <c r="BA8" s="241"/>
      <c r="BB8" s="241"/>
      <c r="BC8" s="241"/>
      <c r="BD8" s="241"/>
      <c r="BE8" s="241"/>
      <c r="BF8" s="241"/>
      <c r="BG8" s="241"/>
      <c r="BH8" s="241"/>
      <c r="BI8" s="241"/>
      <c r="BJ8" s="241"/>
      <c r="BK8" s="241"/>
      <c r="BL8" s="241"/>
      <c r="BM8" s="241"/>
      <c r="BN8" s="241"/>
      <c r="BO8" s="241"/>
      <c r="BP8" s="241"/>
      <c r="BQ8" s="241"/>
      <c r="BR8" s="241"/>
      <c r="BS8" s="241"/>
      <c r="BT8" s="242"/>
      <c r="BU8" s="253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5"/>
    </row>
    <row r="9" spans="1:183" ht="24.75" customHeight="1" x14ac:dyDescent="0.2">
      <c r="A9" s="32"/>
      <c r="B9" s="213" t="s">
        <v>55</v>
      </c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4"/>
      <c r="BU9" s="218">
        <f>BU11</f>
        <v>21482048.439999998</v>
      </c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20"/>
    </row>
    <row r="10" spans="1:183" ht="15" customHeight="1" x14ac:dyDescent="0.2">
      <c r="A10" s="33"/>
      <c r="B10" s="227" t="s">
        <v>4</v>
      </c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8"/>
      <c r="BU10" s="215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  <c r="CL10" s="216"/>
      <c r="CM10" s="216"/>
      <c r="CN10" s="216"/>
      <c r="CO10" s="216"/>
      <c r="CP10" s="216"/>
      <c r="CQ10" s="216"/>
      <c r="CR10" s="216"/>
      <c r="CS10" s="216"/>
      <c r="CT10" s="216"/>
      <c r="CU10" s="216"/>
      <c r="CV10" s="216"/>
      <c r="CW10" s="216"/>
      <c r="CX10" s="216"/>
      <c r="CY10" s="216"/>
      <c r="CZ10" s="216"/>
      <c r="DA10" s="216"/>
      <c r="DB10" s="216"/>
      <c r="DC10" s="216"/>
      <c r="DD10" s="217"/>
    </row>
    <row r="11" spans="1:183" ht="45" customHeight="1" x14ac:dyDescent="0.2">
      <c r="A11" s="32"/>
      <c r="B11" s="213" t="s">
        <v>57</v>
      </c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3"/>
      <c r="BO11" s="213"/>
      <c r="BP11" s="213"/>
      <c r="BQ11" s="213"/>
      <c r="BR11" s="213"/>
      <c r="BS11" s="213"/>
      <c r="BT11" s="214"/>
      <c r="BU11" s="224">
        <f>15681163.44+5800885</f>
        <v>21482048.439999998</v>
      </c>
      <c r="BV11" s="225"/>
      <c r="BW11" s="225"/>
      <c r="BX11" s="225"/>
      <c r="BY11" s="225"/>
      <c r="BZ11" s="225"/>
      <c r="CA11" s="225"/>
      <c r="CB11" s="225"/>
      <c r="CC11" s="225"/>
      <c r="CD11" s="225"/>
      <c r="CE11" s="225"/>
      <c r="CF11" s="225"/>
      <c r="CG11" s="225"/>
      <c r="CH11" s="225"/>
      <c r="CI11" s="225"/>
      <c r="CJ11" s="225"/>
      <c r="CK11" s="225"/>
      <c r="CL11" s="225"/>
      <c r="CM11" s="225"/>
      <c r="CN11" s="225"/>
      <c r="CO11" s="225"/>
      <c r="CP11" s="225"/>
      <c r="CQ11" s="225"/>
      <c r="CR11" s="225"/>
      <c r="CS11" s="225"/>
      <c r="CT11" s="225"/>
      <c r="CU11" s="225"/>
      <c r="CV11" s="225"/>
      <c r="CW11" s="225"/>
      <c r="CX11" s="225"/>
      <c r="CY11" s="225"/>
      <c r="CZ11" s="225"/>
      <c r="DA11" s="225"/>
      <c r="DB11" s="225"/>
      <c r="DC11" s="225"/>
      <c r="DD11" s="226"/>
      <c r="GA11" s="4" t="s">
        <v>214</v>
      </c>
    </row>
    <row r="12" spans="1:183" ht="44.25" customHeight="1" x14ac:dyDescent="0.2">
      <c r="A12" s="32"/>
      <c r="B12" s="213" t="s">
        <v>58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4"/>
      <c r="BU12" s="224"/>
      <c r="BV12" s="225"/>
      <c r="BW12" s="225"/>
      <c r="BX12" s="225"/>
      <c r="BY12" s="225"/>
      <c r="BZ12" s="225"/>
      <c r="CA12" s="225"/>
      <c r="CB12" s="225"/>
      <c r="CC12" s="225"/>
      <c r="CD12" s="225"/>
      <c r="CE12" s="225"/>
      <c r="CF12" s="225"/>
      <c r="CG12" s="225"/>
      <c r="CH12" s="225"/>
      <c r="CI12" s="225"/>
      <c r="CJ12" s="225"/>
      <c r="CK12" s="225"/>
      <c r="CL12" s="225"/>
      <c r="CM12" s="225"/>
      <c r="CN12" s="225"/>
      <c r="CO12" s="225"/>
      <c r="CP12" s="225"/>
      <c r="CQ12" s="225"/>
      <c r="CR12" s="225"/>
      <c r="CS12" s="225"/>
      <c r="CT12" s="225"/>
      <c r="CU12" s="225"/>
      <c r="CV12" s="225"/>
      <c r="CW12" s="225"/>
      <c r="CX12" s="225"/>
      <c r="CY12" s="225"/>
      <c r="CZ12" s="225"/>
      <c r="DA12" s="225"/>
      <c r="DB12" s="225"/>
      <c r="DC12" s="225"/>
      <c r="DD12" s="226"/>
    </row>
    <row r="13" spans="1:183" ht="41.25" customHeight="1" x14ac:dyDescent="0.2">
      <c r="A13" s="32"/>
      <c r="B13" s="213" t="s">
        <v>59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4"/>
      <c r="BU13" s="224"/>
      <c r="BV13" s="225"/>
      <c r="BW13" s="225"/>
      <c r="BX13" s="225"/>
      <c r="BY13" s="225"/>
      <c r="BZ13" s="225"/>
      <c r="CA13" s="225"/>
      <c r="CB13" s="225"/>
      <c r="CC13" s="225"/>
      <c r="CD13" s="225"/>
      <c r="CE13" s="225"/>
      <c r="CF13" s="225"/>
      <c r="CG13" s="225"/>
      <c r="CH13" s="225"/>
      <c r="CI13" s="225"/>
      <c r="CJ13" s="225"/>
      <c r="CK13" s="225"/>
      <c r="CL13" s="225"/>
      <c r="CM13" s="225"/>
      <c r="CN13" s="225"/>
      <c r="CO13" s="225"/>
      <c r="CP13" s="225"/>
      <c r="CQ13" s="225"/>
      <c r="CR13" s="225"/>
      <c r="CS13" s="225"/>
      <c r="CT13" s="225"/>
      <c r="CU13" s="225"/>
      <c r="CV13" s="225"/>
      <c r="CW13" s="225"/>
      <c r="CX13" s="225"/>
      <c r="CY13" s="225"/>
      <c r="CZ13" s="225"/>
      <c r="DA13" s="225"/>
      <c r="DB13" s="225"/>
      <c r="DC13" s="225"/>
      <c r="DD13" s="226"/>
    </row>
    <row r="14" spans="1:183" ht="29.25" customHeight="1" x14ac:dyDescent="0.2">
      <c r="A14" s="32"/>
      <c r="B14" s="213" t="s">
        <v>34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4"/>
      <c r="BU14" s="224"/>
      <c r="BV14" s="225"/>
      <c r="BW14" s="225"/>
      <c r="BX14" s="225"/>
      <c r="BY14" s="225"/>
      <c r="BZ14" s="225"/>
      <c r="CA14" s="225"/>
      <c r="CB14" s="225"/>
      <c r="CC14" s="225"/>
      <c r="CD14" s="225"/>
      <c r="CE14" s="225"/>
      <c r="CF14" s="225"/>
      <c r="CG14" s="225"/>
      <c r="CH14" s="225"/>
      <c r="CI14" s="225"/>
      <c r="CJ14" s="225"/>
      <c r="CK14" s="225"/>
      <c r="CL14" s="225"/>
      <c r="CM14" s="225"/>
      <c r="CN14" s="225"/>
      <c r="CO14" s="225"/>
      <c r="CP14" s="225"/>
      <c r="CQ14" s="225"/>
      <c r="CR14" s="225"/>
      <c r="CS14" s="225"/>
      <c r="CT14" s="225"/>
      <c r="CU14" s="225"/>
      <c r="CV14" s="225"/>
      <c r="CW14" s="225"/>
      <c r="CX14" s="225"/>
      <c r="CY14" s="225"/>
      <c r="CZ14" s="225"/>
      <c r="DA14" s="225"/>
      <c r="DB14" s="225"/>
      <c r="DC14" s="225"/>
      <c r="DD14" s="226"/>
    </row>
    <row r="15" spans="1:183" ht="22.5" customHeight="1" x14ac:dyDescent="0.2">
      <c r="A15" s="32"/>
      <c r="B15" s="213" t="s">
        <v>35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4"/>
      <c r="BU15" s="224">
        <v>13760329.949999999</v>
      </c>
      <c r="BV15" s="225"/>
      <c r="BW15" s="225"/>
      <c r="BX15" s="225"/>
      <c r="BY15" s="225"/>
      <c r="BZ15" s="225"/>
      <c r="CA15" s="225"/>
      <c r="CB15" s="225"/>
      <c r="CC15" s="225"/>
      <c r="CD15" s="225"/>
      <c r="CE15" s="225"/>
      <c r="CF15" s="225"/>
      <c r="CG15" s="225"/>
      <c r="CH15" s="225"/>
      <c r="CI15" s="225"/>
      <c r="CJ15" s="225"/>
      <c r="CK15" s="225"/>
      <c r="CL15" s="225"/>
      <c r="CM15" s="225"/>
      <c r="CN15" s="225"/>
      <c r="CO15" s="225"/>
      <c r="CP15" s="225"/>
      <c r="CQ15" s="225"/>
      <c r="CR15" s="225"/>
      <c r="CS15" s="225"/>
      <c r="CT15" s="225"/>
      <c r="CU15" s="225"/>
      <c r="CV15" s="225"/>
      <c r="CW15" s="225"/>
      <c r="CX15" s="225"/>
      <c r="CY15" s="225"/>
      <c r="CZ15" s="225"/>
      <c r="DA15" s="225"/>
      <c r="DB15" s="225"/>
      <c r="DC15" s="225"/>
      <c r="DD15" s="226"/>
    </row>
    <row r="16" spans="1:183" ht="24.75" customHeight="1" x14ac:dyDescent="0.2">
      <c r="A16" s="32"/>
      <c r="B16" s="213" t="s">
        <v>54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4"/>
      <c r="BU16" s="224">
        <v>16728784.609999999</v>
      </c>
      <c r="BV16" s="207"/>
      <c r="BW16" s="207"/>
      <c r="BX16" s="207"/>
      <c r="BY16" s="207"/>
      <c r="BZ16" s="207"/>
      <c r="CA16" s="207"/>
      <c r="CB16" s="20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207"/>
      <c r="CW16" s="207"/>
      <c r="CX16" s="207"/>
      <c r="CY16" s="207"/>
      <c r="CZ16" s="207"/>
      <c r="DA16" s="207"/>
      <c r="DB16" s="207"/>
      <c r="DC16" s="207"/>
      <c r="DD16" s="208"/>
    </row>
    <row r="17" spans="1:108" ht="15" customHeight="1" x14ac:dyDescent="0.2">
      <c r="A17" s="34"/>
      <c r="B17" s="227" t="s">
        <v>4</v>
      </c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8"/>
      <c r="BU17" s="206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8"/>
    </row>
    <row r="18" spans="1:108" ht="15" customHeight="1" x14ac:dyDescent="0.2">
      <c r="A18" s="32"/>
      <c r="B18" s="213" t="s">
        <v>53</v>
      </c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4"/>
      <c r="BU18" s="224">
        <v>5270620</v>
      </c>
      <c r="BV18" s="225"/>
      <c r="BW18" s="225"/>
      <c r="BX18" s="225"/>
      <c r="BY18" s="225"/>
      <c r="BZ18" s="225"/>
      <c r="CA18" s="225"/>
      <c r="CB18" s="225"/>
      <c r="CC18" s="225"/>
      <c r="CD18" s="225"/>
      <c r="CE18" s="225"/>
      <c r="CF18" s="225"/>
      <c r="CG18" s="225"/>
      <c r="CH18" s="225"/>
      <c r="CI18" s="225"/>
      <c r="CJ18" s="225"/>
      <c r="CK18" s="225"/>
      <c r="CL18" s="225"/>
      <c r="CM18" s="225"/>
      <c r="CN18" s="225"/>
      <c r="CO18" s="225"/>
      <c r="CP18" s="225"/>
      <c r="CQ18" s="225"/>
      <c r="CR18" s="225"/>
      <c r="CS18" s="225"/>
      <c r="CT18" s="225"/>
      <c r="CU18" s="225"/>
      <c r="CV18" s="225"/>
      <c r="CW18" s="225"/>
      <c r="CX18" s="225"/>
      <c r="CY18" s="225"/>
      <c r="CZ18" s="225"/>
      <c r="DA18" s="225"/>
      <c r="DB18" s="225"/>
      <c r="DC18" s="225"/>
      <c r="DD18" s="226"/>
    </row>
    <row r="19" spans="1:108" ht="39" customHeight="1" x14ac:dyDescent="0.2">
      <c r="A19" s="32"/>
      <c r="B19" s="213" t="s">
        <v>144</v>
      </c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4"/>
      <c r="BU19" s="224">
        <v>9909978.2899999991</v>
      </c>
      <c r="BV19" s="225"/>
      <c r="BW19" s="225"/>
      <c r="BX19" s="225"/>
      <c r="BY19" s="225"/>
      <c r="BZ19" s="225"/>
      <c r="CA19" s="225"/>
      <c r="CB19" s="225"/>
      <c r="CC19" s="225"/>
      <c r="CD19" s="225"/>
      <c r="CE19" s="225"/>
      <c r="CF19" s="225"/>
      <c r="CG19" s="225"/>
      <c r="CH19" s="225"/>
      <c r="CI19" s="225"/>
      <c r="CJ19" s="225"/>
      <c r="CK19" s="225"/>
      <c r="CL19" s="225"/>
      <c r="CM19" s="225"/>
      <c r="CN19" s="225"/>
      <c r="CO19" s="225"/>
      <c r="CP19" s="225"/>
      <c r="CQ19" s="225"/>
      <c r="CR19" s="225"/>
      <c r="CS19" s="225"/>
      <c r="CT19" s="225"/>
      <c r="CU19" s="225"/>
      <c r="CV19" s="225"/>
      <c r="CW19" s="225"/>
      <c r="CX19" s="225"/>
      <c r="CY19" s="225"/>
      <c r="CZ19" s="225"/>
      <c r="DA19" s="225"/>
      <c r="DB19" s="225"/>
      <c r="DC19" s="225"/>
      <c r="DD19" s="226"/>
    </row>
    <row r="20" spans="1:108" ht="39" customHeight="1" x14ac:dyDescent="0.2">
      <c r="A20" s="32"/>
      <c r="B20" s="213" t="s">
        <v>60</v>
      </c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4"/>
      <c r="BU20" s="224">
        <v>1548186.32</v>
      </c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6"/>
    </row>
    <row r="21" spans="1:108" ht="26.25" customHeight="1" x14ac:dyDescent="0.2">
      <c r="A21" s="32"/>
      <c r="B21" s="213" t="s">
        <v>145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4"/>
      <c r="BU21" s="249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  <c r="CY21" s="250"/>
      <c r="CZ21" s="250"/>
      <c r="DA21" s="250"/>
      <c r="DB21" s="250"/>
      <c r="DC21" s="250"/>
      <c r="DD21" s="251"/>
    </row>
    <row r="22" spans="1:108" ht="15" customHeight="1" x14ac:dyDescent="0.2">
      <c r="A22" s="32"/>
      <c r="B22" s="213" t="s">
        <v>146</v>
      </c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3"/>
      <c r="BN22" s="213"/>
      <c r="BO22" s="213"/>
      <c r="BP22" s="213"/>
      <c r="BQ22" s="213"/>
      <c r="BR22" s="213"/>
      <c r="BS22" s="213"/>
      <c r="BT22" s="214"/>
      <c r="BU22" s="224">
        <v>1068785.8500000001</v>
      </c>
      <c r="BV22" s="225"/>
      <c r="BW22" s="225"/>
      <c r="BX22" s="225"/>
      <c r="BY22" s="225"/>
      <c r="BZ22" s="225"/>
      <c r="CA22" s="225"/>
      <c r="CB22" s="225"/>
      <c r="CC22" s="225"/>
      <c r="CD22" s="225"/>
      <c r="CE22" s="225"/>
      <c r="CF22" s="225"/>
      <c r="CG22" s="225"/>
      <c r="CH22" s="225"/>
      <c r="CI22" s="225"/>
      <c r="CJ22" s="225"/>
      <c r="CK22" s="225"/>
      <c r="CL22" s="225"/>
      <c r="CM22" s="225"/>
      <c r="CN22" s="225"/>
      <c r="CO22" s="225"/>
      <c r="CP22" s="225"/>
      <c r="CQ22" s="225"/>
      <c r="CR22" s="225"/>
      <c r="CS22" s="225"/>
      <c r="CT22" s="225"/>
      <c r="CU22" s="225"/>
      <c r="CV22" s="225"/>
      <c r="CW22" s="225"/>
      <c r="CX22" s="225"/>
      <c r="CY22" s="225"/>
      <c r="CZ22" s="225"/>
      <c r="DA22" s="225"/>
      <c r="DB22" s="225"/>
      <c r="DC22" s="225"/>
      <c r="DD22" s="226"/>
    </row>
    <row r="23" spans="1:108" s="9" customFormat="1" ht="15" customHeight="1" x14ac:dyDescent="0.2">
      <c r="A23" s="30"/>
      <c r="B23" s="234" t="s">
        <v>52</v>
      </c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34"/>
      <c r="BQ23" s="234"/>
      <c r="BR23" s="234"/>
      <c r="BS23" s="234"/>
      <c r="BT23" s="235"/>
      <c r="BU23" s="246">
        <v>937014.42</v>
      </c>
      <c r="BV23" s="247"/>
      <c r="BW23" s="247"/>
      <c r="BX23" s="247"/>
      <c r="BY23" s="247"/>
      <c r="BZ23" s="247"/>
      <c r="CA23" s="247"/>
      <c r="CB23" s="247"/>
      <c r="CC23" s="247"/>
      <c r="CD23" s="247"/>
      <c r="CE23" s="247"/>
      <c r="CF23" s="247"/>
      <c r="CG23" s="247"/>
      <c r="CH23" s="247"/>
      <c r="CI23" s="247"/>
      <c r="CJ23" s="247"/>
      <c r="CK23" s="247"/>
      <c r="CL23" s="247"/>
      <c r="CM23" s="247"/>
      <c r="CN23" s="247"/>
      <c r="CO23" s="247"/>
      <c r="CP23" s="247"/>
      <c r="CQ23" s="247"/>
      <c r="CR23" s="247"/>
      <c r="CS23" s="247"/>
      <c r="CT23" s="247"/>
      <c r="CU23" s="247"/>
      <c r="CV23" s="247"/>
      <c r="CW23" s="247"/>
      <c r="CX23" s="247"/>
      <c r="CY23" s="247"/>
      <c r="CZ23" s="247"/>
      <c r="DA23" s="247"/>
      <c r="DB23" s="247"/>
      <c r="DC23" s="247"/>
      <c r="DD23" s="248"/>
    </row>
    <row r="24" spans="1:108" ht="12.75" customHeight="1" x14ac:dyDescent="0.2">
      <c r="A24" s="33"/>
      <c r="B24" s="227" t="s">
        <v>8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8"/>
      <c r="BU24" s="206"/>
      <c r="BV24" s="207"/>
      <c r="BW24" s="207"/>
      <c r="BX24" s="207"/>
      <c r="BY24" s="207"/>
      <c r="BZ24" s="207"/>
      <c r="CA24" s="207"/>
      <c r="CB24" s="207"/>
      <c r="CC24" s="207"/>
      <c r="CD24" s="207"/>
      <c r="CE24" s="207"/>
      <c r="CF24" s="207"/>
      <c r="CG24" s="207"/>
      <c r="CH24" s="207"/>
      <c r="CI24" s="207"/>
      <c r="CJ24" s="207"/>
      <c r="CK24" s="207"/>
      <c r="CL24" s="207"/>
      <c r="CM24" s="207"/>
      <c r="CN24" s="207"/>
      <c r="CO24" s="207"/>
      <c r="CP24" s="207"/>
      <c r="CQ24" s="207"/>
      <c r="CR24" s="207"/>
      <c r="CS24" s="207"/>
      <c r="CT24" s="207"/>
      <c r="CU24" s="207"/>
      <c r="CV24" s="207"/>
      <c r="CW24" s="207"/>
      <c r="CX24" s="207"/>
      <c r="CY24" s="207"/>
      <c r="CZ24" s="207"/>
      <c r="DA24" s="207"/>
      <c r="DB24" s="207"/>
      <c r="DC24" s="207"/>
      <c r="DD24" s="208"/>
    </row>
    <row r="25" spans="1:108" ht="15" customHeight="1" x14ac:dyDescent="0.2">
      <c r="A25" s="32"/>
      <c r="B25" s="213" t="s">
        <v>62</v>
      </c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  <c r="BT25" s="214"/>
      <c r="BU25" s="224">
        <v>896445.39</v>
      </c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225"/>
      <c r="CG25" s="225"/>
      <c r="CH25" s="225"/>
      <c r="CI25" s="225"/>
      <c r="CJ25" s="225"/>
      <c r="CK25" s="225"/>
      <c r="CL25" s="225"/>
      <c r="CM25" s="225"/>
      <c r="CN25" s="225"/>
      <c r="CO25" s="225"/>
      <c r="CP25" s="225"/>
      <c r="CQ25" s="225"/>
      <c r="CR25" s="225"/>
      <c r="CS25" s="225"/>
      <c r="CT25" s="225"/>
      <c r="CU25" s="225"/>
      <c r="CV25" s="225"/>
      <c r="CW25" s="225"/>
      <c r="CX25" s="225"/>
      <c r="CY25" s="225"/>
      <c r="CZ25" s="225"/>
      <c r="DA25" s="225"/>
      <c r="DB25" s="225"/>
      <c r="DC25" s="225"/>
      <c r="DD25" s="226"/>
    </row>
    <row r="26" spans="1:108" ht="14.25" customHeight="1" x14ac:dyDescent="0.2">
      <c r="A26" s="33"/>
      <c r="B26" s="227" t="s">
        <v>4</v>
      </c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8"/>
      <c r="BU26" s="206"/>
      <c r="BV26" s="207"/>
      <c r="BW26" s="207"/>
      <c r="BX26" s="207"/>
      <c r="BY26" s="207"/>
      <c r="BZ26" s="207"/>
      <c r="CA26" s="207"/>
      <c r="CB26" s="207"/>
      <c r="CC26" s="207"/>
      <c r="CD26" s="207"/>
      <c r="CE26" s="207"/>
      <c r="CF26" s="207"/>
      <c r="CG26" s="207"/>
      <c r="CH26" s="207"/>
      <c r="CI26" s="207"/>
      <c r="CJ26" s="207"/>
      <c r="CK26" s="207"/>
      <c r="CL26" s="207"/>
      <c r="CM26" s="207"/>
      <c r="CN26" s="207"/>
      <c r="CO26" s="207"/>
      <c r="CP26" s="207"/>
      <c r="CQ26" s="207"/>
      <c r="CR26" s="207"/>
      <c r="CS26" s="207"/>
      <c r="CT26" s="207"/>
      <c r="CU26" s="207"/>
      <c r="CV26" s="207"/>
      <c r="CW26" s="207"/>
      <c r="CX26" s="207"/>
      <c r="CY26" s="207"/>
      <c r="CZ26" s="207"/>
      <c r="DA26" s="207"/>
      <c r="DB26" s="207"/>
      <c r="DC26" s="207"/>
      <c r="DD26" s="208"/>
    </row>
    <row r="27" spans="1:108" ht="15.75" customHeight="1" x14ac:dyDescent="0.2">
      <c r="A27" s="35"/>
      <c r="B27" s="229" t="s">
        <v>63</v>
      </c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30"/>
      <c r="BU27" s="224">
        <v>896445.39</v>
      </c>
      <c r="BV27" s="225"/>
      <c r="BW27" s="225"/>
      <c r="BX27" s="225"/>
      <c r="BY27" s="225"/>
      <c r="BZ27" s="225"/>
      <c r="CA27" s="225"/>
      <c r="CB27" s="225"/>
      <c r="CC27" s="225"/>
      <c r="CD27" s="225"/>
      <c r="CE27" s="225"/>
      <c r="CF27" s="225"/>
      <c r="CG27" s="225"/>
      <c r="CH27" s="225"/>
      <c r="CI27" s="225"/>
      <c r="CJ27" s="225"/>
      <c r="CK27" s="225"/>
      <c r="CL27" s="225"/>
      <c r="CM27" s="225"/>
      <c r="CN27" s="225"/>
      <c r="CO27" s="225"/>
      <c r="CP27" s="225"/>
      <c r="CQ27" s="225"/>
      <c r="CR27" s="225"/>
      <c r="CS27" s="225"/>
      <c r="CT27" s="225"/>
      <c r="CU27" s="225"/>
      <c r="CV27" s="225"/>
      <c r="CW27" s="225"/>
      <c r="CX27" s="225"/>
      <c r="CY27" s="225"/>
      <c r="CZ27" s="225"/>
      <c r="DA27" s="225"/>
      <c r="DB27" s="225"/>
      <c r="DC27" s="225"/>
      <c r="DD27" s="226"/>
    </row>
    <row r="28" spans="1:108" ht="29.25" customHeight="1" x14ac:dyDescent="0.2">
      <c r="A28" s="35"/>
      <c r="B28" s="229" t="s">
        <v>64</v>
      </c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  <c r="AP28" s="229"/>
      <c r="AQ28" s="229"/>
      <c r="AR28" s="229"/>
      <c r="AS28" s="229"/>
      <c r="AT28" s="229"/>
      <c r="AU28" s="229"/>
      <c r="AV28" s="229"/>
      <c r="AW28" s="229"/>
      <c r="AX28" s="229"/>
      <c r="AY28" s="229"/>
      <c r="AZ28" s="229"/>
      <c r="BA28" s="229"/>
      <c r="BB28" s="229"/>
      <c r="BC28" s="229"/>
      <c r="BD28" s="229"/>
      <c r="BE28" s="229"/>
      <c r="BF28" s="229"/>
      <c r="BG28" s="229"/>
      <c r="BH28" s="229"/>
      <c r="BI28" s="229"/>
      <c r="BJ28" s="229"/>
      <c r="BK28" s="229"/>
      <c r="BL28" s="229"/>
      <c r="BM28" s="229"/>
      <c r="BN28" s="229"/>
      <c r="BO28" s="229"/>
      <c r="BP28" s="229"/>
      <c r="BQ28" s="229"/>
      <c r="BR28" s="229"/>
      <c r="BS28" s="229"/>
      <c r="BT28" s="230"/>
      <c r="BU28" s="215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  <c r="CT28" s="216"/>
      <c r="CU28" s="216"/>
      <c r="CV28" s="216"/>
      <c r="CW28" s="216"/>
      <c r="CX28" s="216"/>
      <c r="CY28" s="216"/>
      <c r="CZ28" s="216"/>
      <c r="DA28" s="216"/>
      <c r="DB28" s="216"/>
      <c r="DC28" s="216"/>
      <c r="DD28" s="217"/>
    </row>
    <row r="29" spans="1:108" ht="15.75" customHeight="1" x14ac:dyDescent="0.2">
      <c r="A29" s="35"/>
      <c r="B29" s="213" t="s">
        <v>65</v>
      </c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  <c r="BO29" s="213"/>
      <c r="BP29" s="213"/>
      <c r="BQ29" s="213"/>
      <c r="BR29" s="213"/>
      <c r="BS29" s="213"/>
      <c r="BT29" s="214"/>
      <c r="BU29" s="215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  <c r="CT29" s="216"/>
      <c r="CU29" s="216"/>
      <c r="CV29" s="216"/>
      <c r="CW29" s="216"/>
      <c r="CX29" s="216"/>
      <c r="CY29" s="216"/>
      <c r="CZ29" s="216"/>
      <c r="DA29" s="216"/>
      <c r="DB29" s="216"/>
      <c r="DC29" s="216"/>
      <c r="DD29" s="217"/>
    </row>
    <row r="30" spans="1:108" ht="26.25" customHeight="1" x14ac:dyDescent="0.2">
      <c r="A30" s="35"/>
      <c r="B30" s="229" t="s">
        <v>70</v>
      </c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  <c r="BC30" s="229"/>
      <c r="BD30" s="229"/>
      <c r="BE30" s="229"/>
      <c r="BF30" s="229"/>
      <c r="BG30" s="229"/>
      <c r="BH30" s="229"/>
      <c r="BI30" s="229"/>
      <c r="BJ30" s="229"/>
      <c r="BK30" s="229"/>
      <c r="BL30" s="229"/>
      <c r="BM30" s="229"/>
      <c r="BN30" s="229"/>
      <c r="BO30" s="229"/>
      <c r="BP30" s="229"/>
      <c r="BQ30" s="229"/>
      <c r="BR30" s="229"/>
      <c r="BS30" s="229"/>
      <c r="BT30" s="230"/>
      <c r="BU30" s="256"/>
      <c r="BV30" s="257"/>
      <c r="BW30" s="257"/>
      <c r="BX30" s="257"/>
      <c r="BY30" s="257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8"/>
    </row>
    <row r="31" spans="1:108" ht="15" customHeight="1" x14ac:dyDescent="0.2">
      <c r="A31" s="35"/>
      <c r="B31" s="229" t="s">
        <v>66</v>
      </c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29"/>
      <c r="AX31" s="229"/>
      <c r="AY31" s="229"/>
      <c r="AZ31" s="229"/>
      <c r="BA31" s="229"/>
      <c r="BB31" s="229"/>
      <c r="BC31" s="229"/>
      <c r="BD31" s="229"/>
      <c r="BE31" s="229"/>
      <c r="BF31" s="229"/>
      <c r="BG31" s="229"/>
      <c r="BH31" s="229"/>
      <c r="BI31" s="229"/>
      <c r="BJ31" s="229"/>
      <c r="BK31" s="229"/>
      <c r="BL31" s="229"/>
      <c r="BM31" s="229"/>
      <c r="BN31" s="229"/>
      <c r="BO31" s="229"/>
      <c r="BP31" s="229"/>
      <c r="BQ31" s="229"/>
      <c r="BR31" s="229"/>
      <c r="BS31" s="229"/>
      <c r="BT31" s="230"/>
      <c r="BU31" s="218">
        <v>12511.43</v>
      </c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216"/>
      <c r="DC31" s="216"/>
      <c r="DD31" s="217"/>
    </row>
    <row r="32" spans="1:108" ht="13.15" customHeight="1" x14ac:dyDescent="0.2">
      <c r="A32" s="33"/>
      <c r="B32" s="227" t="s">
        <v>4</v>
      </c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8"/>
      <c r="BU32" s="231"/>
      <c r="BV32" s="232"/>
      <c r="BW32" s="232"/>
      <c r="BX32" s="232"/>
      <c r="BY32" s="232"/>
      <c r="BZ32" s="232"/>
      <c r="CA32" s="232"/>
      <c r="CB32" s="232"/>
      <c r="CC32" s="232"/>
      <c r="CD32" s="232"/>
      <c r="CE32" s="232"/>
      <c r="CF32" s="232"/>
      <c r="CG32" s="232"/>
      <c r="CH32" s="232"/>
      <c r="CI32" s="232"/>
      <c r="CJ32" s="232"/>
      <c r="CK32" s="232"/>
      <c r="CL32" s="232"/>
      <c r="CM32" s="232"/>
      <c r="CN32" s="232"/>
      <c r="CO32" s="232"/>
      <c r="CP32" s="232"/>
      <c r="CQ32" s="232"/>
      <c r="CR32" s="232"/>
      <c r="CS32" s="232"/>
      <c r="CT32" s="232"/>
      <c r="CU32" s="232"/>
      <c r="CV32" s="232"/>
      <c r="CW32" s="232"/>
      <c r="CX32" s="232"/>
      <c r="CY32" s="232"/>
      <c r="CZ32" s="232"/>
      <c r="DA32" s="232"/>
      <c r="DB32" s="232"/>
      <c r="DC32" s="232"/>
      <c r="DD32" s="233"/>
    </row>
    <row r="33" spans="1:108" ht="29.25" customHeight="1" x14ac:dyDescent="0.2">
      <c r="A33" s="32"/>
      <c r="B33" s="213" t="s">
        <v>67</v>
      </c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3"/>
      <c r="BT33" s="214"/>
      <c r="BU33" s="218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20"/>
    </row>
    <row r="34" spans="1:108" ht="29.25" customHeight="1" x14ac:dyDescent="0.2">
      <c r="A34" s="32"/>
      <c r="B34" s="213" t="s">
        <v>68</v>
      </c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3"/>
      <c r="BN34" s="213"/>
      <c r="BO34" s="213"/>
      <c r="BP34" s="213"/>
      <c r="BQ34" s="213"/>
      <c r="BR34" s="213"/>
      <c r="BS34" s="213"/>
      <c r="BT34" s="214"/>
      <c r="BU34" s="224"/>
      <c r="BV34" s="207"/>
      <c r="BW34" s="207"/>
      <c r="BX34" s="207"/>
      <c r="BY34" s="207"/>
      <c r="BZ34" s="207"/>
      <c r="CA34" s="207"/>
      <c r="CB34" s="207"/>
      <c r="CC34" s="207"/>
      <c r="CD34" s="207"/>
      <c r="CE34" s="207"/>
      <c r="CF34" s="207"/>
      <c r="CG34" s="207"/>
      <c r="CH34" s="207"/>
      <c r="CI34" s="207"/>
      <c r="CJ34" s="207"/>
      <c r="CK34" s="207"/>
      <c r="CL34" s="207"/>
      <c r="CM34" s="207"/>
      <c r="CN34" s="207"/>
      <c r="CO34" s="207"/>
      <c r="CP34" s="207"/>
      <c r="CQ34" s="207"/>
      <c r="CR34" s="207"/>
      <c r="CS34" s="207"/>
      <c r="CT34" s="207"/>
      <c r="CU34" s="207"/>
      <c r="CV34" s="207"/>
      <c r="CW34" s="207"/>
      <c r="CX34" s="207"/>
      <c r="CY34" s="207"/>
      <c r="CZ34" s="207"/>
      <c r="DA34" s="207"/>
      <c r="DB34" s="207"/>
      <c r="DC34" s="207"/>
      <c r="DD34" s="208"/>
    </row>
    <row r="35" spans="1:108" ht="29.25" customHeight="1" x14ac:dyDescent="0.2">
      <c r="A35" s="32"/>
      <c r="B35" s="213" t="s">
        <v>69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3"/>
      <c r="BQ35" s="213"/>
      <c r="BR35" s="213"/>
      <c r="BS35" s="213"/>
      <c r="BT35" s="214"/>
      <c r="BU35" s="224"/>
      <c r="BV35" s="225"/>
      <c r="BW35" s="225"/>
      <c r="BX35" s="225"/>
      <c r="BY35" s="225"/>
      <c r="BZ35" s="225"/>
      <c r="CA35" s="225"/>
      <c r="CB35" s="225"/>
      <c r="CC35" s="225"/>
      <c r="CD35" s="225"/>
      <c r="CE35" s="225"/>
      <c r="CF35" s="225"/>
      <c r="CG35" s="225"/>
      <c r="CH35" s="225"/>
      <c r="CI35" s="225"/>
      <c r="CJ35" s="225"/>
      <c r="CK35" s="225"/>
      <c r="CL35" s="225"/>
      <c r="CM35" s="225"/>
      <c r="CN35" s="225"/>
      <c r="CO35" s="225"/>
      <c r="CP35" s="225"/>
      <c r="CQ35" s="225"/>
      <c r="CR35" s="225"/>
      <c r="CS35" s="225"/>
      <c r="CT35" s="225"/>
      <c r="CU35" s="225"/>
      <c r="CV35" s="225"/>
      <c r="CW35" s="225"/>
      <c r="CX35" s="225"/>
      <c r="CY35" s="225"/>
      <c r="CZ35" s="225"/>
      <c r="DA35" s="225"/>
      <c r="DB35" s="225"/>
      <c r="DC35" s="225"/>
      <c r="DD35" s="226"/>
    </row>
    <row r="36" spans="1:108" s="9" customFormat="1" ht="15" customHeight="1" x14ac:dyDescent="0.2">
      <c r="A36" s="30"/>
      <c r="B36" s="234" t="s">
        <v>51</v>
      </c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4"/>
      <c r="AZ36" s="234"/>
      <c r="BA36" s="234"/>
      <c r="BB36" s="234"/>
      <c r="BC36" s="234"/>
      <c r="BD36" s="234"/>
      <c r="BE36" s="234"/>
      <c r="BF36" s="234"/>
      <c r="BG36" s="234"/>
      <c r="BH36" s="234"/>
      <c r="BI36" s="234"/>
      <c r="BJ36" s="234"/>
      <c r="BK36" s="234"/>
      <c r="BL36" s="234"/>
      <c r="BM36" s="234"/>
      <c r="BN36" s="234"/>
      <c r="BO36" s="234"/>
      <c r="BP36" s="234"/>
      <c r="BQ36" s="234"/>
      <c r="BR36" s="234"/>
      <c r="BS36" s="234"/>
      <c r="BT36" s="235"/>
      <c r="BU36" s="237">
        <v>61674683.719999999</v>
      </c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9"/>
    </row>
    <row r="37" spans="1:108" ht="15" customHeight="1" x14ac:dyDescent="0.2">
      <c r="A37" s="36"/>
      <c r="B37" s="180" t="s">
        <v>8</v>
      </c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180"/>
      <c r="BQ37" s="180"/>
      <c r="BR37" s="180"/>
      <c r="BS37" s="180"/>
      <c r="BT37" s="236"/>
      <c r="BU37" s="206"/>
      <c r="BV37" s="207"/>
      <c r="BW37" s="207"/>
      <c r="BX37" s="207"/>
      <c r="BY37" s="207"/>
      <c r="BZ37" s="207"/>
      <c r="CA37" s="207"/>
      <c r="CB37" s="207"/>
      <c r="CC37" s="207"/>
      <c r="CD37" s="207"/>
      <c r="CE37" s="207"/>
      <c r="CF37" s="207"/>
      <c r="CG37" s="207"/>
      <c r="CH37" s="207"/>
      <c r="CI37" s="207"/>
      <c r="CJ37" s="207"/>
      <c r="CK37" s="207"/>
      <c r="CL37" s="207"/>
      <c r="CM37" s="207"/>
      <c r="CN37" s="207"/>
      <c r="CO37" s="207"/>
      <c r="CP37" s="207"/>
      <c r="CQ37" s="207"/>
      <c r="CR37" s="207"/>
      <c r="CS37" s="207"/>
      <c r="CT37" s="207"/>
      <c r="CU37" s="207"/>
      <c r="CV37" s="207"/>
      <c r="CW37" s="207"/>
      <c r="CX37" s="207"/>
      <c r="CY37" s="207"/>
      <c r="CZ37" s="207"/>
      <c r="DA37" s="207"/>
      <c r="DB37" s="207"/>
      <c r="DC37" s="207"/>
      <c r="DD37" s="208"/>
    </row>
    <row r="38" spans="1:108" ht="15" customHeight="1" x14ac:dyDescent="0.2">
      <c r="A38" s="32"/>
      <c r="B38" s="213" t="s">
        <v>71</v>
      </c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3"/>
      <c r="BN38" s="213"/>
      <c r="BO38" s="213"/>
      <c r="BP38" s="213"/>
      <c r="BQ38" s="213"/>
      <c r="BR38" s="213"/>
      <c r="BS38" s="213"/>
      <c r="BT38" s="214"/>
      <c r="BU38" s="206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7"/>
      <c r="CG38" s="207"/>
      <c r="CH38" s="207"/>
      <c r="CI38" s="207"/>
      <c r="CJ38" s="207"/>
      <c r="CK38" s="207"/>
      <c r="CL38" s="207"/>
      <c r="CM38" s="207"/>
      <c r="CN38" s="207"/>
      <c r="CO38" s="207"/>
      <c r="CP38" s="207"/>
      <c r="CQ38" s="207"/>
      <c r="CR38" s="207"/>
      <c r="CS38" s="207"/>
      <c r="CT38" s="207"/>
      <c r="CU38" s="207"/>
      <c r="CV38" s="207"/>
      <c r="CW38" s="207"/>
      <c r="CX38" s="207"/>
      <c r="CY38" s="207"/>
      <c r="CZ38" s="207"/>
      <c r="DA38" s="207"/>
      <c r="DB38" s="207"/>
      <c r="DC38" s="207"/>
      <c r="DD38" s="208"/>
    </row>
    <row r="39" spans="1:108" ht="15" customHeight="1" x14ac:dyDescent="0.2">
      <c r="A39" s="32"/>
      <c r="B39" s="213" t="s">
        <v>72</v>
      </c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  <c r="BI39" s="213"/>
      <c r="BJ39" s="213"/>
      <c r="BK39" s="213"/>
      <c r="BL39" s="213"/>
      <c r="BM39" s="213"/>
      <c r="BN39" s="213"/>
      <c r="BO39" s="213"/>
      <c r="BP39" s="213"/>
      <c r="BQ39" s="213"/>
      <c r="BR39" s="213"/>
      <c r="BS39" s="213"/>
      <c r="BT39" s="214"/>
      <c r="BU39" s="224">
        <v>353178.55</v>
      </c>
      <c r="BV39" s="225"/>
      <c r="BW39" s="225"/>
      <c r="BX39" s="225"/>
      <c r="BY39" s="225"/>
      <c r="BZ39" s="225"/>
      <c r="CA39" s="225"/>
      <c r="CB39" s="225"/>
      <c r="CC39" s="225"/>
      <c r="CD39" s="225"/>
      <c r="CE39" s="225"/>
      <c r="CF39" s="225"/>
      <c r="CG39" s="225"/>
      <c r="CH39" s="225"/>
      <c r="CI39" s="225"/>
      <c r="CJ39" s="225"/>
      <c r="CK39" s="225"/>
      <c r="CL39" s="225"/>
      <c r="CM39" s="225"/>
      <c r="CN39" s="225"/>
      <c r="CO39" s="225"/>
      <c r="CP39" s="225"/>
      <c r="CQ39" s="225"/>
      <c r="CR39" s="225"/>
      <c r="CS39" s="225"/>
      <c r="CT39" s="225"/>
      <c r="CU39" s="225"/>
      <c r="CV39" s="225"/>
      <c r="CW39" s="225"/>
      <c r="CX39" s="225"/>
      <c r="CY39" s="225"/>
      <c r="CZ39" s="225"/>
      <c r="DA39" s="225"/>
      <c r="DB39" s="225"/>
      <c r="DC39" s="225"/>
      <c r="DD39" s="226"/>
    </row>
    <row r="40" spans="1:108" ht="15" customHeight="1" x14ac:dyDescent="0.2">
      <c r="A40" s="33"/>
      <c r="B40" s="227" t="s">
        <v>4</v>
      </c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8"/>
      <c r="BU40" s="206"/>
      <c r="BV40" s="207"/>
      <c r="BW40" s="207"/>
      <c r="BX40" s="207"/>
      <c r="BY40" s="207"/>
      <c r="BZ40" s="207"/>
      <c r="CA40" s="207"/>
      <c r="CB40" s="207"/>
      <c r="CC40" s="207"/>
      <c r="CD40" s="207"/>
      <c r="CE40" s="207"/>
      <c r="CF40" s="207"/>
      <c r="CG40" s="207"/>
      <c r="CH40" s="207"/>
      <c r="CI40" s="207"/>
      <c r="CJ40" s="207"/>
      <c r="CK40" s="207"/>
      <c r="CL40" s="207"/>
      <c r="CM40" s="207"/>
      <c r="CN40" s="207"/>
      <c r="CO40" s="207"/>
      <c r="CP40" s="207"/>
      <c r="CQ40" s="207"/>
      <c r="CR40" s="207"/>
      <c r="CS40" s="207"/>
      <c r="CT40" s="207"/>
      <c r="CU40" s="207"/>
      <c r="CV40" s="207"/>
      <c r="CW40" s="207"/>
      <c r="CX40" s="207"/>
      <c r="CY40" s="207"/>
      <c r="CZ40" s="207"/>
      <c r="DA40" s="207"/>
      <c r="DB40" s="207"/>
      <c r="DC40" s="207"/>
      <c r="DD40" s="208"/>
    </row>
    <row r="41" spans="1:108" ht="29.25" customHeight="1" x14ac:dyDescent="0.2">
      <c r="A41" s="32"/>
      <c r="B41" s="213" t="s">
        <v>73</v>
      </c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  <c r="BI41" s="213"/>
      <c r="BJ41" s="213"/>
      <c r="BK41" s="213"/>
      <c r="BL41" s="213"/>
      <c r="BM41" s="213"/>
      <c r="BN41" s="213"/>
      <c r="BO41" s="213"/>
      <c r="BP41" s="213"/>
      <c r="BQ41" s="213"/>
      <c r="BR41" s="213"/>
      <c r="BS41" s="213"/>
      <c r="BT41" s="214"/>
      <c r="BU41" s="218">
        <v>7474.07</v>
      </c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20"/>
    </row>
    <row r="42" spans="1:108" ht="15" customHeight="1" x14ac:dyDescent="0.2">
      <c r="A42" s="37"/>
      <c r="B42" s="211" t="s">
        <v>4</v>
      </c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2"/>
      <c r="BU42" s="215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7"/>
    </row>
    <row r="43" spans="1:108" ht="15" customHeight="1" x14ac:dyDescent="0.2">
      <c r="A43" s="32"/>
      <c r="B43" s="209" t="s">
        <v>75</v>
      </c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10"/>
      <c r="BU43" s="224"/>
      <c r="BV43" s="225"/>
      <c r="BW43" s="225"/>
      <c r="BX43" s="225"/>
      <c r="BY43" s="225"/>
      <c r="BZ43" s="225"/>
      <c r="CA43" s="225"/>
      <c r="CB43" s="225"/>
      <c r="CC43" s="225"/>
      <c r="CD43" s="225"/>
      <c r="CE43" s="225"/>
      <c r="CF43" s="225"/>
      <c r="CG43" s="225"/>
      <c r="CH43" s="225"/>
      <c r="CI43" s="225"/>
      <c r="CJ43" s="225"/>
      <c r="CK43" s="225"/>
      <c r="CL43" s="225"/>
      <c r="CM43" s="225"/>
      <c r="CN43" s="225"/>
      <c r="CO43" s="225"/>
      <c r="CP43" s="225"/>
      <c r="CQ43" s="225"/>
      <c r="CR43" s="225"/>
      <c r="CS43" s="225"/>
      <c r="CT43" s="225"/>
      <c r="CU43" s="225"/>
      <c r="CV43" s="225"/>
      <c r="CW43" s="225"/>
      <c r="CX43" s="225"/>
      <c r="CY43" s="225"/>
      <c r="CZ43" s="225"/>
      <c r="DA43" s="225"/>
      <c r="DB43" s="225"/>
      <c r="DC43" s="225"/>
      <c r="DD43" s="226"/>
    </row>
    <row r="44" spans="1:108" ht="15" customHeight="1" x14ac:dyDescent="0.2">
      <c r="A44" s="32"/>
      <c r="B44" s="209" t="s">
        <v>76</v>
      </c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10"/>
      <c r="BU44" s="224"/>
      <c r="BV44" s="225"/>
      <c r="BW44" s="225"/>
      <c r="BX44" s="225"/>
      <c r="BY44" s="225"/>
      <c r="BZ44" s="225"/>
      <c r="CA44" s="225"/>
      <c r="CB44" s="225"/>
      <c r="CC44" s="225"/>
      <c r="CD44" s="225"/>
      <c r="CE44" s="225"/>
      <c r="CF44" s="225"/>
      <c r="CG44" s="225"/>
      <c r="CH44" s="225"/>
      <c r="CI44" s="225"/>
      <c r="CJ44" s="225"/>
      <c r="CK44" s="225"/>
      <c r="CL44" s="225"/>
      <c r="CM44" s="225"/>
      <c r="CN44" s="225"/>
      <c r="CO44" s="225"/>
      <c r="CP44" s="225"/>
      <c r="CQ44" s="225"/>
      <c r="CR44" s="225"/>
      <c r="CS44" s="225"/>
      <c r="CT44" s="225"/>
      <c r="CU44" s="225"/>
      <c r="CV44" s="225"/>
      <c r="CW44" s="225"/>
      <c r="CX44" s="225"/>
      <c r="CY44" s="225"/>
      <c r="CZ44" s="225"/>
      <c r="DA44" s="225"/>
      <c r="DB44" s="225"/>
      <c r="DC44" s="225"/>
      <c r="DD44" s="226"/>
    </row>
    <row r="45" spans="1:108" ht="15" customHeight="1" x14ac:dyDescent="0.2">
      <c r="A45" s="32"/>
      <c r="B45" s="209" t="s">
        <v>74</v>
      </c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10"/>
      <c r="BU45" s="224"/>
      <c r="BV45" s="225"/>
      <c r="BW45" s="225"/>
      <c r="BX45" s="225"/>
      <c r="BY45" s="225"/>
      <c r="BZ45" s="225"/>
      <c r="CA45" s="225"/>
      <c r="CB45" s="225"/>
      <c r="CC45" s="225"/>
      <c r="CD45" s="225"/>
      <c r="CE45" s="225"/>
      <c r="CF45" s="225"/>
      <c r="CG45" s="225"/>
      <c r="CH45" s="225"/>
      <c r="CI45" s="225"/>
      <c r="CJ45" s="225"/>
      <c r="CK45" s="225"/>
      <c r="CL45" s="225"/>
      <c r="CM45" s="225"/>
      <c r="CN45" s="225"/>
      <c r="CO45" s="225"/>
      <c r="CP45" s="225"/>
      <c r="CQ45" s="225"/>
      <c r="CR45" s="225"/>
      <c r="CS45" s="225"/>
      <c r="CT45" s="225"/>
      <c r="CU45" s="225"/>
      <c r="CV45" s="225"/>
      <c r="CW45" s="225"/>
      <c r="CX45" s="225"/>
      <c r="CY45" s="225"/>
      <c r="CZ45" s="225"/>
      <c r="DA45" s="225"/>
      <c r="DB45" s="225"/>
      <c r="DC45" s="225"/>
      <c r="DD45" s="226"/>
    </row>
    <row r="46" spans="1:108" ht="15" customHeight="1" x14ac:dyDescent="0.2">
      <c r="A46" s="32"/>
      <c r="B46" s="209" t="s">
        <v>77</v>
      </c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10"/>
      <c r="BU46" s="224">
        <v>7474.07</v>
      </c>
      <c r="BV46" s="225"/>
      <c r="BW46" s="225"/>
      <c r="BX46" s="225"/>
      <c r="BY46" s="225"/>
      <c r="BZ46" s="225"/>
      <c r="CA46" s="225"/>
      <c r="CB46" s="225"/>
      <c r="CC46" s="225"/>
      <c r="CD46" s="225"/>
      <c r="CE46" s="225"/>
      <c r="CF46" s="225"/>
      <c r="CG46" s="225"/>
      <c r="CH46" s="225"/>
      <c r="CI46" s="225"/>
      <c r="CJ46" s="225"/>
      <c r="CK46" s="225"/>
      <c r="CL46" s="225"/>
      <c r="CM46" s="225"/>
      <c r="CN46" s="225"/>
      <c r="CO46" s="225"/>
      <c r="CP46" s="225"/>
      <c r="CQ46" s="225"/>
      <c r="CR46" s="225"/>
      <c r="CS46" s="225"/>
      <c r="CT46" s="225"/>
      <c r="CU46" s="225"/>
      <c r="CV46" s="225"/>
      <c r="CW46" s="225"/>
      <c r="CX46" s="225"/>
      <c r="CY46" s="225"/>
      <c r="CZ46" s="225"/>
      <c r="DA46" s="225"/>
      <c r="DB46" s="225"/>
      <c r="DC46" s="225"/>
      <c r="DD46" s="226"/>
    </row>
    <row r="47" spans="1:108" ht="15" customHeight="1" x14ac:dyDescent="0.2">
      <c r="A47" s="32"/>
      <c r="B47" s="209" t="s">
        <v>78</v>
      </c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10"/>
      <c r="BU47" s="224"/>
      <c r="BV47" s="225"/>
      <c r="BW47" s="225"/>
      <c r="BX47" s="225"/>
      <c r="BY47" s="225"/>
      <c r="BZ47" s="225"/>
      <c r="CA47" s="225"/>
      <c r="CB47" s="225"/>
      <c r="CC47" s="225"/>
      <c r="CD47" s="225"/>
      <c r="CE47" s="225"/>
      <c r="CF47" s="225"/>
      <c r="CG47" s="225"/>
      <c r="CH47" s="225"/>
      <c r="CI47" s="225"/>
      <c r="CJ47" s="225"/>
      <c r="CK47" s="225"/>
      <c r="CL47" s="225"/>
      <c r="CM47" s="225"/>
      <c r="CN47" s="225"/>
      <c r="CO47" s="225"/>
      <c r="CP47" s="225"/>
      <c r="CQ47" s="225"/>
      <c r="CR47" s="225"/>
      <c r="CS47" s="225"/>
      <c r="CT47" s="225"/>
      <c r="CU47" s="225"/>
      <c r="CV47" s="225"/>
      <c r="CW47" s="225"/>
      <c r="CX47" s="225"/>
      <c r="CY47" s="225"/>
      <c r="CZ47" s="225"/>
      <c r="DA47" s="225"/>
      <c r="DB47" s="225"/>
      <c r="DC47" s="225"/>
      <c r="DD47" s="226"/>
    </row>
    <row r="48" spans="1:108" ht="15" customHeight="1" x14ac:dyDescent="0.2">
      <c r="A48" s="32"/>
      <c r="B48" s="209" t="s">
        <v>79</v>
      </c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10"/>
      <c r="BU48" s="224"/>
      <c r="BV48" s="225"/>
      <c r="BW48" s="225"/>
      <c r="BX48" s="225"/>
      <c r="BY48" s="225"/>
      <c r="BZ48" s="225"/>
      <c r="CA48" s="225"/>
      <c r="CB48" s="225"/>
      <c r="CC48" s="225"/>
      <c r="CD48" s="225"/>
      <c r="CE48" s="225"/>
      <c r="CF48" s="225"/>
      <c r="CG48" s="225"/>
      <c r="CH48" s="225"/>
      <c r="CI48" s="225"/>
      <c r="CJ48" s="225"/>
      <c r="CK48" s="225"/>
      <c r="CL48" s="225"/>
      <c r="CM48" s="225"/>
      <c r="CN48" s="225"/>
      <c r="CO48" s="225"/>
      <c r="CP48" s="225"/>
      <c r="CQ48" s="225"/>
      <c r="CR48" s="225"/>
      <c r="CS48" s="225"/>
      <c r="CT48" s="225"/>
      <c r="CU48" s="225"/>
      <c r="CV48" s="225"/>
      <c r="CW48" s="225"/>
      <c r="CX48" s="225"/>
      <c r="CY48" s="225"/>
      <c r="CZ48" s="225"/>
      <c r="DA48" s="225"/>
      <c r="DB48" s="225"/>
      <c r="DC48" s="225"/>
      <c r="DD48" s="226"/>
    </row>
    <row r="49" spans="1:108" ht="40.5" customHeight="1" x14ac:dyDescent="0.2">
      <c r="A49" s="32"/>
      <c r="B49" s="213" t="s">
        <v>80</v>
      </c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4"/>
      <c r="BU49" s="221">
        <v>345704.48</v>
      </c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  <c r="CY49" s="222"/>
      <c r="CZ49" s="222"/>
      <c r="DA49" s="222"/>
      <c r="DB49" s="222"/>
      <c r="DC49" s="222"/>
      <c r="DD49" s="223"/>
    </row>
    <row r="50" spans="1:108" ht="15" customHeight="1" x14ac:dyDescent="0.2">
      <c r="A50" s="37"/>
      <c r="B50" s="211" t="s">
        <v>4</v>
      </c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2"/>
      <c r="BU50" s="215"/>
      <c r="BV50" s="216"/>
      <c r="BW50" s="216"/>
      <c r="BX50" s="216"/>
      <c r="BY50" s="216"/>
      <c r="BZ50" s="216"/>
      <c r="CA50" s="216"/>
      <c r="CB50" s="216"/>
      <c r="CC50" s="216"/>
      <c r="CD50" s="216"/>
      <c r="CE50" s="216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  <c r="CR50" s="216"/>
      <c r="CS50" s="216"/>
      <c r="CT50" s="216"/>
      <c r="CU50" s="216"/>
      <c r="CV50" s="216"/>
      <c r="CW50" s="216"/>
      <c r="CX50" s="216"/>
      <c r="CY50" s="216"/>
      <c r="CZ50" s="216"/>
      <c r="DA50" s="216"/>
      <c r="DB50" s="216"/>
      <c r="DC50" s="216"/>
      <c r="DD50" s="217"/>
    </row>
    <row r="51" spans="1:108" ht="15" customHeight="1" x14ac:dyDescent="0.2">
      <c r="A51" s="32"/>
      <c r="B51" s="209" t="s">
        <v>75</v>
      </c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10"/>
      <c r="BU51" s="206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  <c r="CL51" s="207"/>
      <c r="CM51" s="207"/>
      <c r="CN51" s="207"/>
      <c r="CO51" s="207"/>
      <c r="CP51" s="207"/>
      <c r="CQ51" s="207"/>
      <c r="CR51" s="207"/>
      <c r="CS51" s="207"/>
      <c r="CT51" s="207"/>
      <c r="CU51" s="207"/>
      <c r="CV51" s="207"/>
      <c r="CW51" s="207"/>
      <c r="CX51" s="207"/>
      <c r="CY51" s="207"/>
      <c r="CZ51" s="207"/>
      <c r="DA51" s="207"/>
      <c r="DB51" s="207"/>
      <c r="DC51" s="207"/>
      <c r="DD51" s="208"/>
    </row>
    <row r="52" spans="1:108" ht="15" customHeight="1" x14ac:dyDescent="0.2">
      <c r="A52" s="32"/>
      <c r="B52" s="209" t="s">
        <v>76</v>
      </c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10"/>
      <c r="BU52" s="206"/>
      <c r="BV52" s="207"/>
      <c r="BW52" s="207"/>
      <c r="BX52" s="207"/>
      <c r="BY52" s="207"/>
      <c r="BZ52" s="207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7"/>
      <c r="CL52" s="207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7"/>
      <c r="CX52" s="207"/>
      <c r="CY52" s="207"/>
      <c r="CZ52" s="207"/>
      <c r="DA52" s="207"/>
      <c r="DB52" s="207"/>
      <c r="DC52" s="207"/>
      <c r="DD52" s="208"/>
    </row>
    <row r="53" spans="1:108" ht="15" customHeight="1" x14ac:dyDescent="0.2">
      <c r="A53" s="32"/>
      <c r="B53" s="209" t="s">
        <v>74</v>
      </c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10"/>
      <c r="BU53" s="206"/>
      <c r="BV53" s="207"/>
      <c r="BW53" s="207"/>
      <c r="BX53" s="207"/>
      <c r="BY53" s="207"/>
      <c r="BZ53" s="207"/>
      <c r="CA53" s="207"/>
      <c r="CB53" s="207"/>
      <c r="CC53" s="207"/>
      <c r="CD53" s="207"/>
      <c r="CE53" s="207"/>
      <c r="CF53" s="207"/>
      <c r="CG53" s="207"/>
      <c r="CH53" s="207"/>
      <c r="CI53" s="207"/>
      <c r="CJ53" s="207"/>
      <c r="CK53" s="207"/>
      <c r="CL53" s="207"/>
      <c r="CM53" s="207"/>
      <c r="CN53" s="207"/>
      <c r="CO53" s="207"/>
      <c r="CP53" s="207"/>
      <c r="CQ53" s="207"/>
      <c r="CR53" s="207"/>
      <c r="CS53" s="207"/>
      <c r="CT53" s="207"/>
      <c r="CU53" s="207"/>
      <c r="CV53" s="207"/>
      <c r="CW53" s="207"/>
      <c r="CX53" s="207"/>
      <c r="CY53" s="207"/>
      <c r="CZ53" s="207"/>
      <c r="DA53" s="207"/>
      <c r="DB53" s="207"/>
      <c r="DC53" s="207"/>
      <c r="DD53" s="208"/>
    </row>
    <row r="54" spans="1:108" ht="15" customHeight="1" x14ac:dyDescent="0.2">
      <c r="A54" s="32"/>
      <c r="B54" s="209" t="s">
        <v>77</v>
      </c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10"/>
      <c r="BU54" s="221">
        <v>345704.48</v>
      </c>
      <c r="BV54" s="222"/>
      <c r="BW54" s="222"/>
      <c r="BX54" s="222"/>
      <c r="BY54" s="222"/>
      <c r="BZ54" s="222"/>
      <c r="CA54" s="222"/>
      <c r="CB54" s="222"/>
      <c r="CC54" s="222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3"/>
    </row>
    <row r="55" spans="1:108" ht="15" customHeight="1" x14ac:dyDescent="0.2">
      <c r="A55" s="32"/>
      <c r="B55" s="209" t="s">
        <v>78</v>
      </c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10"/>
      <c r="BU55" s="206"/>
      <c r="BV55" s="207"/>
      <c r="BW55" s="207"/>
      <c r="BX55" s="207"/>
      <c r="BY55" s="207"/>
      <c r="BZ55" s="207"/>
      <c r="CA55" s="207"/>
      <c r="CB55" s="207"/>
      <c r="CC55" s="207"/>
      <c r="CD55" s="207"/>
      <c r="CE55" s="207"/>
      <c r="CF55" s="207"/>
      <c r="CG55" s="207"/>
      <c r="CH55" s="207"/>
      <c r="CI55" s="207"/>
      <c r="CJ55" s="207"/>
      <c r="CK55" s="207"/>
      <c r="CL55" s="207"/>
      <c r="CM55" s="207"/>
      <c r="CN55" s="207"/>
      <c r="CO55" s="207"/>
      <c r="CP55" s="207"/>
      <c r="CQ55" s="207"/>
      <c r="CR55" s="207"/>
      <c r="CS55" s="207"/>
      <c r="CT55" s="207"/>
      <c r="CU55" s="207"/>
      <c r="CV55" s="207"/>
      <c r="CW55" s="207"/>
      <c r="CX55" s="207"/>
      <c r="CY55" s="207"/>
      <c r="CZ55" s="207"/>
      <c r="DA55" s="207"/>
      <c r="DB55" s="207"/>
      <c r="DC55" s="207"/>
      <c r="DD55" s="208"/>
    </row>
    <row r="56" spans="1:108" ht="15" customHeight="1" x14ac:dyDescent="0.2">
      <c r="A56" s="32"/>
      <c r="B56" s="209" t="s">
        <v>79</v>
      </c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10"/>
      <c r="BU56" s="224"/>
      <c r="BV56" s="225"/>
      <c r="BW56" s="225"/>
      <c r="BX56" s="225"/>
      <c r="BY56" s="225"/>
      <c r="BZ56" s="225"/>
      <c r="CA56" s="225"/>
      <c r="CB56" s="225"/>
      <c r="CC56" s="225"/>
      <c r="CD56" s="225"/>
      <c r="CE56" s="225"/>
      <c r="CF56" s="225"/>
      <c r="CG56" s="225"/>
      <c r="CH56" s="225"/>
      <c r="CI56" s="225"/>
      <c r="CJ56" s="225"/>
      <c r="CK56" s="225"/>
      <c r="CL56" s="225"/>
      <c r="CM56" s="225"/>
      <c r="CN56" s="225"/>
      <c r="CO56" s="225"/>
      <c r="CP56" s="225"/>
      <c r="CQ56" s="225"/>
      <c r="CR56" s="225"/>
      <c r="CS56" s="225"/>
      <c r="CT56" s="225"/>
      <c r="CU56" s="225"/>
      <c r="CV56" s="225"/>
      <c r="CW56" s="225"/>
      <c r="CX56" s="225"/>
      <c r="CY56" s="225"/>
      <c r="CZ56" s="225"/>
      <c r="DA56" s="225"/>
      <c r="DB56" s="225"/>
      <c r="DC56" s="225"/>
      <c r="DD56" s="226"/>
    </row>
    <row r="57" spans="1:108" ht="25.5" customHeight="1" x14ac:dyDescent="0.2">
      <c r="A57" s="32"/>
      <c r="B57" s="213" t="s">
        <v>81</v>
      </c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  <c r="BI57" s="213"/>
      <c r="BJ57" s="213"/>
      <c r="BK57" s="213"/>
      <c r="BL57" s="213"/>
      <c r="BM57" s="213"/>
      <c r="BN57" s="213"/>
      <c r="BO57" s="213"/>
      <c r="BP57" s="213"/>
      <c r="BQ57" s="213"/>
      <c r="BR57" s="213"/>
      <c r="BS57" s="213"/>
      <c r="BT57" s="214"/>
      <c r="BU57" s="206"/>
      <c r="BV57" s="207"/>
      <c r="BW57" s="207"/>
      <c r="BX57" s="207"/>
      <c r="BY57" s="207"/>
      <c r="BZ57" s="207"/>
      <c r="CA57" s="207"/>
      <c r="CB57" s="207"/>
      <c r="CC57" s="207"/>
      <c r="CD57" s="207"/>
      <c r="CE57" s="207"/>
      <c r="CF57" s="207"/>
      <c r="CG57" s="207"/>
      <c r="CH57" s="207"/>
      <c r="CI57" s="207"/>
      <c r="CJ57" s="207"/>
      <c r="CK57" s="207"/>
      <c r="CL57" s="207"/>
      <c r="CM57" s="207"/>
      <c r="CN57" s="207"/>
      <c r="CO57" s="207"/>
      <c r="CP57" s="207"/>
      <c r="CQ57" s="207"/>
      <c r="CR57" s="207"/>
      <c r="CS57" s="207"/>
      <c r="CT57" s="207"/>
      <c r="CU57" s="207"/>
      <c r="CV57" s="207"/>
      <c r="CW57" s="207"/>
      <c r="CX57" s="207"/>
      <c r="CY57" s="207"/>
      <c r="CZ57" s="207"/>
      <c r="DA57" s="207"/>
      <c r="DB57" s="207"/>
      <c r="DC57" s="207"/>
      <c r="DD57" s="208"/>
    </row>
    <row r="58" spans="1:108" ht="15" customHeight="1" x14ac:dyDescent="0.2">
      <c r="A58" s="37"/>
      <c r="B58" s="211" t="s">
        <v>4</v>
      </c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2"/>
      <c r="BU58" s="215"/>
      <c r="BV58" s="216"/>
      <c r="BW58" s="216"/>
      <c r="BX58" s="216"/>
      <c r="BY58" s="216"/>
      <c r="BZ58" s="216"/>
      <c r="CA58" s="216"/>
      <c r="CB58" s="216"/>
      <c r="CC58" s="216"/>
      <c r="CD58" s="216"/>
      <c r="CE58" s="216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  <c r="CR58" s="216"/>
      <c r="CS58" s="216"/>
      <c r="CT58" s="216"/>
      <c r="CU58" s="216"/>
      <c r="CV58" s="216"/>
      <c r="CW58" s="216"/>
      <c r="CX58" s="216"/>
      <c r="CY58" s="216"/>
      <c r="CZ58" s="216"/>
      <c r="DA58" s="216"/>
      <c r="DB58" s="216"/>
      <c r="DC58" s="216"/>
      <c r="DD58" s="217"/>
    </row>
    <row r="59" spans="1:108" ht="15" customHeight="1" x14ac:dyDescent="0.2">
      <c r="A59" s="32"/>
      <c r="B59" s="209" t="s">
        <v>75</v>
      </c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10"/>
      <c r="BU59" s="206"/>
      <c r="BV59" s="207"/>
      <c r="BW59" s="207"/>
      <c r="BX59" s="207"/>
      <c r="BY59" s="207"/>
      <c r="BZ59" s="207"/>
      <c r="CA59" s="207"/>
      <c r="CB59" s="207"/>
      <c r="CC59" s="207"/>
      <c r="CD59" s="207"/>
      <c r="CE59" s="207"/>
      <c r="CF59" s="207"/>
      <c r="CG59" s="207"/>
      <c r="CH59" s="207"/>
      <c r="CI59" s="207"/>
      <c r="CJ59" s="207"/>
      <c r="CK59" s="207"/>
      <c r="CL59" s="207"/>
      <c r="CM59" s="207"/>
      <c r="CN59" s="207"/>
      <c r="CO59" s="207"/>
      <c r="CP59" s="207"/>
      <c r="CQ59" s="207"/>
      <c r="CR59" s="207"/>
      <c r="CS59" s="207"/>
      <c r="CT59" s="207"/>
      <c r="CU59" s="207"/>
      <c r="CV59" s="207"/>
      <c r="CW59" s="207"/>
      <c r="CX59" s="207"/>
      <c r="CY59" s="207"/>
      <c r="CZ59" s="207"/>
      <c r="DA59" s="207"/>
      <c r="DB59" s="207"/>
      <c r="DC59" s="207"/>
      <c r="DD59" s="208"/>
    </row>
    <row r="60" spans="1:108" ht="15" customHeight="1" x14ac:dyDescent="0.2">
      <c r="A60" s="32"/>
      <c r="B60" s="209" t="s">
        <v>76</v>
      </c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10"/>
      <c r="BU60" s="206"/>
      <c r="BV60" s="207"/>
      <c r="BW60" s="207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7"/>
      <c r="CW60" s="207"/>
      <c r="CX60" s="207"/>
      <c r="CY60" s="207"/>
      <c r="CZ60" s="207"/>
      <c r="DA60" s="207"/>
      <c r="DB60" s="207"/>
      <c r="DC60" s="207"/>
      <c r="DD60" s="208"/>
    </row>
    <row r="61" spans="1:108" ht="15" customHeight="1" x14ac:dyDescent="0.2">
      <c r="A61" s="32"/>
      <c r="B61" s="209" t="s">
        <v>74</v>
      </c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10"/>
      <c r="BU61" s="206"/>
      <c r="BV61" s="207"/>
      <c r="BW61" s="207"/>
      <c r="BX61" s="207"/>
      <c r="BY61" s="207"/>
      <c r="BZ61" s="207"/>
      <c r="CA61" s="207"/>
      <c r="CB61" s="207"/>
      <c r="CC61" s="207"/>
      <c r="CD61" s="207"/>
      <c r="CE61" s="207"/>
      <c r="CF61" s="207"/>
      <c r="CG61" s="207"/>
      <c r="CH61" s="207"/>
      <c r="CI61" s="207"/>
      <c r="CJ61" s="207"/>
      <c r="CK61" s="207"/>
      <c r="CL61" s="207"/>
      <c r="CM61" s="207"/>
      <c r="CN61" s="207"/>
      <c r="CO61" s="207"/>
      <c r="CP61" s="207"/>
      <c r="CQ61" s="207"/>
      <c r="CR61" s="207"/>
      <c r="CS61" s="207"/>
      <c r="CT61" s="207"/>
      <c r="CU61" s="207"/>
      <c r="CV61" s="207"/>
      <c r="CW61" s="207"/>
      <c r="CX61" s="207"/>
      <c r="CY61" s="207"/>
      <c r="CZ61" s="207"/>
      <c r="DA61" s="207"/>
      <c r="DB61" s="207"/>
      <c r="DC61" s="207"/>
      <c r="DD61" s="208"/>
    </row>
    <row r="62" spans="1:108" ht="15" customHeight="1" x14ac:dyDescent="0.2">
      <c r="A62" s="32"/>
      <c r="B62" s="209" t="s">
        <v>77</v>
      </c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10"/>
      <c r="BU62" s="206"/>
      <c r="BV62" s="207"/>
      <c r="BW62" s="207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7"/>
      <c r="CW62" s="207"/>
      <c r="CX62" s="207"/>
      <c r="CY62" s="207"/>
      <c r="CZ62" s="207"/>
      <c r="DA62" s="207"/>
      <c r="DB62" s="207"/>
      <c r="DC62" s="207"/>
      <c r="DD62" s="208"/>
    </row>
    <row r="63" spans="1:108" ht="15" customHeight="1" x14ac:dyDescent="0.2">
      <c r="A63" s="32"/>
      <c r="B63" s="209" t="s">
        <v>78</v>
      </c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10"/>
      <c r="BU63" s="206"/>
      <c r="BV63" s="207"/>
      <c r="BW63" s="207"/>
      <c r="BX63" s="207"/>
      <c r="BY63" s="207"/>
      <c r="BZ63" s="207"/>
      <c r="CA63" s="207"/>
      <c r="CB63" s="207"/>
      <c r="CC63" s="207"/>
      <c r="CD63" s="207"/>
      <c r="CE63" s="207"/>
      <c r="CF63" s="207"/>
      <c r="CG63" s="207"/>
      <c r="CH63" s="207"/>
      <c r="CI63" s="207"/>
      <c r="CJ63" s="207"/>
      <c r="CK63" s="207"/>
      <c r="CL63" s="207"/>
      <c r="CM63" s="207"/>
      <c r="CN63" s="207"/>
      <c r="CO63" s="207"/>
      <c r="CP63" s="207"/>
      <c r="CQ63" s="207"/>
      <c r="CR63" s="207"/>
      <c r="CS63" s="207"/>
      <c r="CT63" s="207"/>
      <c r="CU63" s="207"/>
      <c r="CV63" s="207"/>
      <c r="CW63" s="207"/>
      <c r="CX63" s="207"/>
      <c r="CY63" s="207"/>
      <c r="CZ63" s="207"/>
      <c r="DA63" s="207"/>
      <c r="DB63" s="207"/>
      <c r="DC63" s="207"/>
      <c r="DD63" s="208"/>
    </row>
    <row r="64" spans="1:108" ht="15" customHeight="1" x14ac:dyDescent="0.2">
      <c r="A64" s="32"/>
      <c r="B64" s="209" t="s">
        <v>79</v>
      </c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10"/>
      <c r="BU64" s="206"/>
      <c r="BV64" s="207"/>
      <c r="BW64" s="207"/>
      <c r="BX64" s="207"/>
      <c r="BY64" s="207"/>
      <c r="BZ64" s="207"/>
      <c r="CA64" s="207"/>
      <c r="CB64" s="207"/>
      <c r="CC64" s="207"/>
      <c r="CD64" s="207"/>
      <c r="CE64" s="207"/>
      <c r="CF64" s="207"/>
      <c r="CG64" s="207"/>
      <c r="CH64" s="207"/>
      <c r="CI64" s="207"/>
      <c r="CJ64" s="207"/>
      <c r="CK64" s="207"/>
      <c r="CL64" s="207"/>
      <c r="CM64" s="207"/>
      <c r="CN64" s="207"/>
      <c r="CO64" s="207"/>
      <c r="CP64" s="207"/>
      <c r="CQ64" s="207"/>
      <c r="CR64" s="207"/>
      <c r="CS64" s="207"/>
      <c r="CT64" s="207"/>
      <c r="CU64" s="207"/>
      <c r="CV64" s="207"/>
      <c r="CW64" s="207"/>
      <c r="CX64" s="207"/>
      <c r="CY64" s="207"/>
      <c r="CZ64" s="207"/>
      <c r="DA64" s="207"/>
      <c r="DB64" s="207"/>
      <c r="DC64" s="207"/>
      <c r="DD64" s="208"/>
    </row>
    <row r="65" spans="1:108" ht="15" customHeight="1" x14ac:dyDescent="0.2">
      <c r="A65" s="32"/>
      <c r="B65" s="213" t="s">
        <v>82</v>
      </c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4"/>
      <c r="BU65" s="206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  <c r="CY65" s="207"/>
      <c r="CZ65" s="207"/>
      <c r="DA65" s="207"/>
      <c r="DB65" s="207"/>
      <c r="DC65" s="207"/>
      <c r="DD65" s="208"/>
    </row>
    <row r="66" spans="1:108" ht="15" customHeight="1" x14ac:dyDescent="0.2">
      <c r="A66" s="32"/>
      <c r="B66" s="211" t="s">
        <v>4</v>
      </c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2"/>
      <c r="BU66" s="206"/>
      <c r="BV66" s="207"/>
      <c r="BW66" s="207"/>
      <c r="BX66" s="207"/>
      <c r="BY66" s="207"/>
      <c r="BZ66" s="207"/>
      <c r="CA66" s="207"/>
      <c r="CB66" s="207"/>
      <c r="CC66" s="207"/>
      <c r="CD66" s="207"/>
      <c r="CE66" s="207"/>
      <c r="CF66" s="207"/>
      <c r="CG66" s="207"/>
      <c r="CH66" s="207"/>
      <c r="CI66" s="207"/>
      <c r="CJ66" s="207"/>
      <c r="CK66" s="207"/>
      <c r="CL66" s="207"/>
      <c r="CM66" s="207"/>
      <c r="CN66" s="207"/>
      <c r="CO66" s="207"/>
      <c r="CP66" s="207"/>
      <c r="CQ66" s="207"/>
      <c r="CR66" s="207"/>
      <c r="CS66" s="207"/>
      <c r="CT66" s="207"/>
      <c r="CU66" s="207"/>
      <c r="CV66" s="207"/>
      <c r="CW66" s="207"/>
      <c r="CX66" s="207"/>
      <c r="CY66" s="207"/>
      <c r="CZ66" s="207"/>
      <c r="DA66" s="207"/>
      <c r="DB66" s="207"/>
      <c r="DC66" s="207"/>
      <c r="DD66" s="208"/>
    </row>
    <row r="67" spans="1:108" ht="15" customHeight="1" x14ac:dyDescent="0.2">
      <c r="A67" s="37"/>
      <c r="B67" s="209" t="s">
        <v>75</v>
      </c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10"/>
      <c r="BU67" s="206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  <c r="CL67" s="207"/>
      <c r="CM67" s="207"/>
      <c r="CN67" s="207"/>
      <c r="CO67" s="207"/>
      <c r="CP67" s="207"/>
      <c r="CQ67" s="207"/>
      <c r="CR67" s="207"/>
      <c r="CS67" s="207"/>
      <c r="CT67" s="207"/>
      <c r="CU67" s="207"/>
      <c r="CV67" s="207"/>
      <c r="CW67" s="207"/>
      <c r="CX67" s="207"/>
      <c r="CY67" s="207"/>
      <c r="CZ67" s="207"/>
      <c r="DA67" s="207"/>
      <c r="DB67" s="207"/>
      <c r="DC67" s="207"/>
      <c r="DD67" s="208"/>
    </row>
    <row r="68" spans="1:108" ht="15" customHeight="1" x14ac:dyDescent="0.2">
      <c r="A68" s="32"/>
      <c r="B68" s="209" t="s">
        <v>76</v>
      </c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10"/>
      <c r="BU68" s="206"/>
      <c r="BV68" s="207"/>
      <c r="BW68" s="207"/>
      <c r="BX68" s="207"/>
      <c r="BY68" s="207"/>
      <c r="BZ68" s="207"/>
      <c r="CA68" s="207"/>
      <c r="CB68" s="207"/>
      <c r="CC68" s="207"/>
      <c r="CD68" s="207"/>
      <c r="CE68" s="207"/>
      <c r="CF68" s="207"/>
      <c r="CG68" s="207"/>
      <c r="CH68" s="207"/>
      <c r="CI68" s="207"/>
      <c r="CJ68" s="207"/>
      <c r="CK68" s="207"/>
      <c r="CL68" s="207"/>
      <c r="CM68" s="207"/>
      <c r="CN68" s="207"/>
      <c r="CO68" s="207"/>
      <c r="CP68" s="207"/>
      <c r="CQ68" s="207"/>
      <c r="CR68" s="207"/>
      <c r="CS68" s="207"/>
      <c r="CT68" s="207"/>
      <c r="CU68" s="207"/>
      <c r="CV68" s="207"/>
      <c r="CW68" s="207"/>
      <c r="CX68" s="207"/>
      <c r="CY68" s="207"/>
      <c r="CZ68" s="207"/>
      <c r="DA68" s="207"/>
      <c r="DB68" s="207"/>
      <c r="DC68" s="207"/>
      <c r="DD68" s="208"/>
    </row>
    <row r="69" spans="1:108" ht="15" customHeight="1" x14ac:dyDescent="0.2">
      <c r="A69" s="32"/>
      <c r="B69" s="209" t="s">
        <v>74</v>
      </c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10"/>
      <c r="BU69" s="206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7"/>
      <c r="CY69" s="207"/>
      <c r="CZ69" s="207"/>
      <c r="DA69" s="207"/>
      <c r="DB69" s="207"/>
      <c r="DC69" s="207"/>
      <c r="DD69" s="208"/>
    </row>
    <row r="70" spans="1:108" ht="14.25" customHeight="1" x14ac:dyDescent="0.2">
      <c r="A70" s="32"/>
      <c r="B70" s="209" t="s">
        <v>77</v>
      </c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10"/>
      <c r="BU70" s="206"/>
      <c r="BV70" s="207"/>
      <c r="BW70" s="207"/>
      <c r="BX70" s="207"/>
      <c r="BY70" s="207"/>
      <c r="BZ70" s="207"/>
      <c r="CA70" s="207"/>
      <c r="CB70" s="207"/>
      <c r="CC70" s="207"/>
      <c r="CD70" s="207"/>
      <c r="CE70" s="207"/>
      <c r="CF70" s="207"/>
      <c r="CG70" s="207"/>
      <c r="CH70" s="207"/>
      <c r="CI70" s="207"/>
      <c r="CJ70" s="207"/>
      <c r="CK70" s="207"/>
      <c r="CL70" s="207"/>
      <c r="CM70" s="207"/>
      <c r="CN70" s="207"/>
      <c r="CO70" s="207"/>
      <c r="CP70" s="207"/>
      <c r="CQ70" s="207"/>
      <c r="CR70" s="207"/>
      <c r="CS70" s="207"/>
      <c r="CT70" s="207"/>
      <c r="CU70" s="207"/>
      <c r="CV70" s="207"/>
      <c r="CW70" s="207"/>
      <c r="CX70" s="207"/>
      <c r="CY70" s="207"/>
      <c r="CZ70" s="207"/>
      <c r="DA70" s="207"/>
      <c r="DB70" s="207"/>
      <c r="DC70" s="207"/>
      <c r="DD70" s="208"/>
    </row>
    <row r="71" spans="1:108" ht="15" customHeight="1" x14ac:dyDescent="0.2">
      <c r="A71" s="38"/>
      <c r="B71" s="209" t="s">
        <v>78</v>
      </c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10"/>
      <c r="BU71" s="206"/>
      <c r="BV71" s="207"/>
      <c r="BW71" s="207"/>
      <c r="BX71" s="207"/>
      <c r="BY71" s="207"/>
      <c r="BZ71" s="207"/>
      <c r="CA71" s="207"/>
      <c r="CB71" s="207"/>
      <c r="CC71" s="207"/>
      <c r="CD71" s="207"/>
      <c r="CE71" s="207"/>
      <c r="CF71" s="207"/>
      <c r="CG71" s="207"/>
      <c r="CH71" s="207"/>
      <c r="CI71" s="207"/>
      <c r="CJ71" s="207"/>
      <c r="CK71" s="207"/>
      <c r="CL71" s="207"/>
      <c r="CM71" s="207"/>
      <c r="CN71" s="207"/>
      <c r="CO71" s="207"/>
      <c r="CP71" s="207"/>
      <c r="CQ71" s="207"/>
      <c r="CR71" s="207"/>
      <c r="CS71" s="207"/>
      <c r="CT71" s="207"/>
      <c r="CU71" s="207"/>
      <c r="CV71" s="207"/>
      <c r="CW71" s="207"/>
      <c r="CX71" s="207"/>
      <c r="CY71" s="207"/>
      <c r="CZ71" s="207"/>
      <c r="DA71" s="207"/>
      <c r="DB71" s="207"/>
      <c r="DC71" s="207"/>
      <c r="DD71" s="208"/>
    </row>
    <row r="72" spans="1:108" ht="15" customHeight="1" x14ac:dyDescent="0.2">
      <c r="A72" s="32"/>
      <c r="B72" s="209" t="s">
        <v>79</v>
      </c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10"/>
      <c r="BU72" s="206"/>
      <c r="BV72" s="207"/>
      <c r="BW72" s="207"/>
      <c r="BX72" s="207"/>
      <c r="BY72" s="207"/>
      <c r="BZ72" s="207"/>
      <c r="CA72" s="207"/>
      <c r="CB72" s="207"/>
      <c r="CC72" s="207"/>
      <c r="CD72" s="207"/>
      <c r="CE72" s="207"/>
      <c r="CF72" s="207"/>
      <c r="CG72" s="207"/>
      <c r="CH72" s="207"/>
      <c r="CI72" s="207"/>
      <c r="CJ72" s="207"/>
      <c r="CK72" s="207"/>
      <c r="CL72" s="207"/>
      <c r="CM72" s="207"/>
      <c r="CN72" s="207"/>
      <c r="CO72" s="207"/>
      <c r="CP72" s="207"/>
      <c r="CQ72" s="207"/>
      <c r="CR72" s="207"/>
      <c r="CS72" s="207"/>
      <c r="CT72" s="207"/>
      <c r="CU72" s="207"/>
      <c r="CV72" s="207"/>
      <c r="CW72" s="207"/>
      <c r="CX72" s="207"/>
      <c r="CY72" s="207"/>
      <c r="CZ72" s="207"/>
      <c r="DA72" s="207"/>
      <c r="DB72" s="207"/>
      <c r="DC72" s="207"/>
      <c r="DD72" s="208"/>
    </row>
  </sheetData>
  <mergeCells count="138">
    <mergeCell ref="B69:BT69"/>
    <mergeCell ref="BU69:DD69"/>
    <mergeCell ref="B68:BT68"/>
    <mergeCell ref="B72:BT72"/>
    <mergeCell ref="BU72:DD72"/>
    <mergeCell ref="B70:BT70"/>
    <mergeCell ref="BU70:DD70"/>
    <mergeCell ref="BU71:DD71"/>
    <mergeCell ref="B71:BT71"/>
    <mergeCell ref="BU68:DD68"/>
    <mergeCell ref="BU33:DD33"/>
    <mergeCell ref="B34:BT34"/>
    <mergeCell ref="BU34:DD34"/>
    <mergeCell ref="BU8:DD8"/>
    <mergeCell ref="BU9:DD9"/>
    <mergeCell ref="BU10:DD10"/>
    <mergeCell ref="BU12:DD12"/>
    <mergeCell ref="BU22:DD22"/>
    <mergeCell ref="BU24:DD24"/>
    <mergeCell ref="BU16:DD16"/>
    <mergeCell ref="BU17:DD17"/>
    <mergeCell ref="BU23:DD23"/>
    <mergeCell ref="BU14:DD14"/>
    <mergeCell ref="B19:BT19"/>
    <mergeCell ref="B22:BT22"/>
    <mergeCell ref="B24:BT24"/>
    <mergeCell ref="BU30:DD30"/>
    <mergeCell ref="B13:BT13"/>
    <mergeCell ref="BU13:DD13"/>
    <mergeCell ref="B16:BT16"/>
    <mergeCell ref="BU19:DD19"/>
    <mergeCell ref="B20:BT20"/>
    <mergeCell ref="BU20:DD20"/>
    <mergeCell ref="B21:BT21"/>
    <mergeCell ref="B30:BT30"/>
    <mergeCell ref="BU21:DD21"/>
    <mergeCell ref="A3:DD3"/>
    <mergeCell ref="A4:DD4"/>
    <mergeCell ref="B25:BT25"/>
    <mergeCell ref="BU25:DD25"/>
    <mergeCell ref="B27:BT27"/>
    <mergeCell ref="B12:BT12"/>
    <mergeCell ref="B23:BT23"/>
    <mergeCell ref="B15:BT15"/>
    <mergeCell ref="BU15:DD15"/>
    <mergeCell ref="B18:BT18"/>
    <mergeCell ref="BU18:DD18"/>
    <mergeCell ref="B17:BT17"/>
    <mergeCell ref="B14:BT14"/>
    <mergeCell ref="A2:DD2"/>
    <mergeCell ref="B8:BT8"/>
    <mergeCell ref="B9:BT9"/>
    <mergeCell ref="B11:BT11"/>
    <mergeCell ref="BU6:DD6"/>
    <mergeCell ref="B7:BT7"/>
    <mergeCell ref="A6:BT6"/>
    <mergeCell ref="BU11:DD11"/>
    <mergeCell ref="B10:BT10"/>
    <mergeCell ref="BU7:DD7"/>
    <mergeCell ref="B38:BT38"/>
    <mergeCell ref="BU38:DD38"/>
    <mergeCell ref="B39:BT39"/>
    <mergeCell ref="BU39:DD39"/>
    <mergeCell ref="B40:BT40"/>
    <mergeCell ref="BU40:DD40"/>
    <mergeCell ref="B35:BT35"/>
    <mergeCell ref="BU35:DD35"/>
    <mergeCell ref="B26:BT26"/>
    <mergeCell ref="BU26:DD26"/>
    <mergeCell ref="B32:BT32"/>
    <mergeCell ref="BU27:DD27"/>
    <mergeCell ref="B28:BT28"/>
    <mergeCell ref="BU28:DD28"/>
    <mergeCell ref="B29:BT29"/>
    <mergeCell ref="BU29:DD29"/>
    <mergeCell ref="BU32:DD32"/>
    <mergeCell ref="B36:BT36"/>
    <mergeCell ref="B37:BT37"/>
    <mergeCell ref="BU36:DD36"/>
    <mergeCell ref="BU37:DD37"/>
    <mergeCell ref="B31:BT31"/>
    <mergeCell ref="BU31:DD31"/>
    <mergeCell ref="B33:BT33"/>
    <mergeCell ref="BU54:DD54"/>
    <mergeCell ref="B55:BT55"/>
    <mergeCell ref="BU55:DD55"/>
    <mergeCell ref="B50:BT50"/>
    <mergeCell ref="BU50:DD50"/>
    <mergeCell ref="B51:BT51"/>
    <mergeCell ref="BU51:DD51"/>
    <mergeCell ref="B52:BT52"/>
    <mergeCell ref="BU52:DD52"/>
    <mergeCell ref="B48:BT48"/>
    <mergeCell ref="BU48:DD48"/>
    <mergeCell ref="B44:BT44"/>
    <mergeCell ref="BU44:DD44"/>
    <mergeCell ref="B45:BT45"/>
    <mergeCell ref="BU45:DD45"/>
    <mergeCell ref="B46:BT46"/>
    <mergeCell ref="BU46:DD46"/>
    <mergeCell ref="B47:BT47"/>
    <mergeCell ref="BU47:DD47"/>
    <mergeCell ref="A1:DD1"/>
    <mergeCell ref="B63:BT63"/>
    <mergeCell ref="BU63:DD63"/>
    <mergeCell ref="B64:BT64"/>
    <mergeCell ref="BU64:DD64"/>
    <mergeCell ref="B57:BT57"/>
    <mergeCell ref="BU57:DD57"/>
    <mergeCell ref="B58:BT58"/>
    <mergeCell ref="BU58:DD58"/>
    <mergeCell ref="B59:BT59"/>
    <mergeCell ref="BU59:DD59"/>
    <mergeCell ref="B53:BT53"/>
    <mergeCell ref="BU53:DD53"/>
    <mergeCell ref="B54:BT54"/>
    <mergeCell ref="B41:BT41"/>
    <mergeCell ref="BU41:DD41"/>
    <mergeCell ref="B49:BT49"/>
    <mergeCell ref="BU49:DD49"/>
    <mergeCell ref="B56:BT56"/>
    <mergeCell ref="BU56:DD56"/>
    <mergeCell ref="B42:BT42"/>
    <mergeCell ref="BU42:DD42"/>
    <mergeCell ref="B43:BT43"/>
    <mergeCell ref="BU43:DD43"/>
    <mergeCell ref="BU67:DD67"/>
    <mergeCell ref="B67:BT67"/>
    <mergeCell ref="BU66:DD66"/>
    <mergeCell ref="B66:BT66"/>
    <mergeCell ref="B60:BT60"/>
    <mergeCell ref="BU60:DD60"/>
    <mergeCell ref="B61:BT61"/>
    <mergeCell ref="BU61:DD61"/>
    <mergeCell ref="B62:BT62"/>
    <mergeCell ref="BU62:DD62"/>
    <mergeCell ref="B65:BT65"/>
    <mergeCell ref="BU65:DD65"/>
  </mergeCells>
  <pageMargins left="0.66" right="0.25" top="0.35" bottom="0.39370078740157483" header="0.19" footer="0.19685039370078741"/>
  <pageSetup paperSize="9" scale="96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08"/>
  <sheetViews>
    <sheetView topLeftCell="A4" zoomScaleNormal="100" zoomScaleSheetLayoutView="110" workbookViewId="0">
      <selection activeCell="I9" sqref="I9"/>
    </sheetView>
  </sheetViews>
  <sheetFormatPr defaultColWidth="9.140625" defaultRowHeight="12.75" x14ac:dyDescent="0.25"/>
  <cols>
    <col min="1" max="1" width="42.140625" style="17" customWidth="1"/>
    <col min="2" max="2" width="7" style="17" customWidth="1"/>
    <col min="3" max="3" width="11.5703125" style="17" customWidth="1"/>
    <col min="4" max="4" width="16.42578125" style="17" customWidth="1"/>
    <col min="5" max="5" width="21.140625" style="17" customWidth="1"/>
    <col min="6" max="6" width="21.28515625" style="17" customWidth="1"/>
    <col min="7" max="7" width="20.140625" style="17" customWidth="1"/>
    <col min="8" max="8" width="14.7109375" style="17" customWidth="1"/>
    <col min="9" max="10" width="13.42578125" style="17" customWidth="1"/>
    <col min="11" max="11" width="21.85546875" style="17" customWidth="1"/>
    <col min="12" max="12" width="12.28515625" style="17" bestFit="1" customWidth="1"/>
    <col min="13" max="16384" width="9.140625" style="17"/>
  </cols>
  <sheetData>
    <row r="1" spans="1:12" ht="20.25" customHeight="1" x14ac:dyDescent="0.25">
      <c r="A1" s="263" t="s">
        <v>141</v>
      </c>
      <c r="B1" s="263"/>
      <c r="C1" s="263"/>
      <c r="D1" s="263"/>
      <c r="E1" s="263"/>
      <c r="F1" s="263"/>
      <c r="G1" s="263"/>
      <c r="H1" s="263"/>
      <c r="I1" s="263"/>
      <c r="J1" s="263"/>
    </row>
    <row r="2" spans="1:12" ht="25.5" customHeight="1" x14ac:dyDescent="0.25">
      <c r="A2" s="263" t="s">
        <v>289</v>
      </c>
      <c r="B2" s="263"/>
      <c r="C2" s="263"/>
      <c r="D2" s="263"/>
      <c r="E2" s="263"/>
      <c r="F2" s="263"/>
      <c r="G2" s="263"/>
      <c r="H2" s="263"/>
      <c r="I2" s="263"/>
      <c r="J2" s="263"/>
    </row>
    <row r="3" spans="1:12" ht="19.5" customHeight="1" x14ac:dyDescent="0.25">
      <c r="A3" s="134"/>
      <c r="B3" s="134"/>
      <c r="C3" s="134"/>
      <c r="D3" s="134"/>
      <c r="E3" s="134"/>
      <c r="F3" s="134"/>
      <c r="G3" s="134"/>
      <c r="H3" s="134"/>
      <c r="I3" s="134"/>
      <c r="J3" s="134"/>
    </row>
    <row r="4" spans="1:12" ht="21.75" customHeight="1" x14ac:dyDescent="0.25">
      <c r="A4" s="259" t="s">
        <v>0</v>
      </c>
      <c r="B4" s="259" t="s">
        <v>1</v>
      </c>
      <c r="C4" s="259" t="s">
        <v>92</v>
      </c>
      <c r="D4" s="259" t="s">
        <v>2</v>
      </c>
      <c r="E4" s="259"/>
      <c r="F4" s="259"/>
      <c r="G4" s="259"/>
      <c r="H4" s="259"/>
      <c r="I4" s="259"/>
      <c r="J4" s="259"/>
    </row>
    <row r="5" spans="1:12" x14ac:dyDescent="0.25">
      <c r="A5" s="259"/>
      <c r="B5" s="259"/>
      <c r="C5" s="259"/>
      <c r="D5" s="264" t="s">
        <v>28</v>
      </c>
      <c r="E5" s="265" t="s">
        <v>4</v>
      </c>
      <c r="F5" s="265"/>
      <c r="G5" s="265"/>
      <c r="H5" s="265"/>
      <c r="I5" s="265"/>
      <c r="J5" s="265"/>
    </row>
    <row r="6" spans="1:12" ht="63.75" customHeight="1" x14ac:dyDescent="0.25">
      <c r="A6" s="259"/>
      <c r="B6" s="259"/>
      <c r="C6" s="259"/>
      <c r="D6" s="264"/>
      <c r="E6" s="266" t="s">
        <v>242</v>
      </c>
      <c r="F6" s="266" t="s">
        <v>243</v>
      </c>
      <c r="G6" s="259" t="s">
        <v>87</v>
      </c>
      <c r="H6" s="259" t="s">
        <v>88</v>
      </c>
      <c r="I6" s="260" t="s">
        <v>89</v>
      </c>
      <c r="J6" s="261"/>
    </row>
    <row r="7" spans="1:12" ht="70.5" customHeight="1" x14ac:dyDescent="0.25">
      <c r="A7" s="259"/>
      <c r="B7" s="259"/>
      <c r="C7" s="259"/>
      <c r="D7" s="264"/>
      <c r="E7" s="267"/>
      <c r="F7" s="267"/>
      <c r="G7" s="259"/>
      <c r="H7" s="259"/>
      <c r="I7" s="133" t="s">
        <v>3</v>
      </c>
      <c r="J7" s="132" t="s">
        <v>5</v>
      </c>
    </row>
    <row r="8" spans="1:12" x14ac:dyDescent="0.25">
      <c r="A8" s="42">
        <v>1</v>
      </c>
      <c r="B8" s="42">
        <v>2</v>
      </c>
      <c r="C8" s="42">
        <v>3</v>
      </c>
      <c r="D8" s="42">
        <v>4</v>
      </c>
      <c r="E8" s="42">
        <v>5</v>
      </c>
      <c r="F8" s="50" t="s">
        <v>244</v>
      </c>
      <c r="G8" s="42">
        <v>6</v>
      </c>
      <c r="H8" s="42">
        <v>7</v>
      </c>
      <c r="I8" s="42">
        <v>8</v>
      </c>
      <c r="J8" s="42">
        <v>9</v>
      </c>
    </row>
    <row r="9" spans="1:12" ht="25.5" customHeight="1" x14ac:dyDescent="0.25">
      <c r="A9" s="70" t="s">
        <v>6</v>
      </c>
      <c r="B9" s="71">
        <v>100</v>
      </c>
      <c r="C9" s="71" t="s">
        <v>7</v>
      </c>
      <c r="D9" s="85">
        <f>D12+D20+D21+D23+D18+D19</f>
        <v>99494110.689999998</v>
      </c>
      <c r="E9" s="85">
        <f>E12</f>
        <v>83195900</v>
      </c>
      <c r="F9" s="85"/>
      <c r="G9" s="85">
        <f>G20</f>
        <v>4998937</v>
      </c>
      <c r="H9" s="85">
        <v>0</v>
      </c>
      <c r="I9" s="85">
        <f>I12+I21+I23+I18+I19</f>
        <v>11299273.689999999</v>
      </c>
      <c r="J9" s="85">
        <v>60000</v>
      </c>
    </row>
    <row r="10" spans="1:12" ht="14.25" customHeight="1" x14ac:dyDescent="0.25">
      <c r="A10" s="25" t="s">
        <v>4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2" x14ac:dyDescent="0.25">
      <c r="A11" s="68" t="s">
        <v>85</v>
      </c>
      <c r="B11" s="69">
        <v>110</v>
      </c>
      <c r="C11" s="69">
        <v>120</v>
      </c>
      <c r="D11" s="69"/>
      <c r="E11" s="69" t="s">
        <v>7</v>
      </c>
      <c r="F11" s="69"/>
      <c r="G11" s="69" t="s">
        <v>7</v>
      </c>
      <c r="H11" s="69" t="s">
        <v>7</v>
      </c>
      <c r="I11" s="69"/>
      <c r="J11" s="69" t="s">
        <v>7</v>
      </c>
    </row>
    <row r="12" spans="1:12" ht="15.75" customHeight="1" x14ac:dyDescent="0.25">
      <c r="A12" s="68" t="s">
        <v>153</v>
      </c>
      <c r="B12" s="69">
        <v>120</v>
      </c>
      <c r="C12" s="69">
        <v>130</v>
      </c>
      <c r="D12" s="95">
        <f>D14+D15+D17+643471.27</f>
        <v>94335971.269999996</v>
      </c>
      <c r="E12" s="95">
        <f>E14+E15</f>
        <v>83195900</v>
      </c>
      <c r="F12" s="95"/>
      <c r="G12" s="69" t="s">
        <v>7</v>
      </c>
      <c r="H12" s="69" t="s">
        <v>7</v>
      </c>
      <c r="I12" s="95">
        <f>I14+I16+I17+643471.27</f>
        <v>11140071.27</v>
      </c>
      <c r="J12" s="95"/>
    </row>
    <row r="13" spans="1:12" s="29" customFormat="1" ht="14.25" customHeight="1" x14ac:dyDescent="0.25">
      <c r="A13" s="43" t="s">
        <v>4</v>
      </c>
      <c r="B13" s="41"/>
      <c r="C13" s="41"/>
      <c r="D13" s="41"/>
      <c r="E13" s="41"/>
      <c r="F13" s="41"/>
      <c r="G13" s="41"/>
      <c r="H13" s="41"/>
      <c r="I13" s="41"/>
      <c r="J13" s="41"/>
      <c r="K13" s="17"/>
    </row>
    <row r="14" spans="1:12" s="29" customFormat="1" ht="18.75" customHeight="1" x14ac:dyDescent="0.25">
      <c r="A14" s="94" t="s">
        <v>246</v>
      </c>
      <c r="B14" s="40">
        <v>1201</v>
      </c>
      <c r="C14" s="41">
        <v>130</v>
      </c>
      <c r="D14" s="75">
        <f>E14+I14</f>
        <v>92890300</v>
      </c>
      <c r="E14" s="75">
        <v>82543700</v>
      </c>
      <c r="F14" s="75"/>
      <c r="G14" s="75">
        <v>0</v>
      </c>
      <c r="H14" s="41"/>
      <c r="I14" s="75">
        <f>9550000+700000+96600</f>
        <v>10346600</v>
      </c>
      <c r="J14" s="75"/>
      <c r="K14" s="17"/>
      <c r="L14" s="114"/>
    </row>
    <row r="15" spans="1:12" s="29" customFormat="1" ht="49.5" customHeight="1" x14ac:dyDescent="0.25">
      <c r="A15" s="111" t="s">
        <v>221</v>
      </c>
      <c r="B15" s="40">
        <v>1202</v>
      </c>
      <c r="C15" s="41">
        <v>130</v>
      </c>
      <c r="D15" s="75">
        <f>E15</f>
        <v>652200</v>
      </c>
      <c r="E15" s="75">
        <v>652200</v>
      </c>
      <c r="F15" s="75"/>
      <c r="G15" s="75"/>
      <c r="H15" s="41"/>
      <c r="I15" s="75"/>
      <c r="J15" s="75"/>
      <c r="K15" s="17"/>
    </row>
    <row r="16" spans="1:12" s="29" customFormat="1" ht="59.25" customHeight="1" x14ac:dyDescent="0.25">
      <c r="A16" s="94" t="s">
        <v>222</v>
      </c>
      <c r="B16" s="40">
        <v>1203</v>
      </c>
      <c r="C16" s="41">
        <v>130</v>
      </c>
      <c r="D16" s="75"/>
      <c r="E16" s="75"/>
      <c r="F16" s="75"/>
      <c r="G16" s="75"/>
      <c r="H16" s="41"/>
      <c r="I16" s="75"/>
      <c r="J16" s="75"/>
      <c r="K16" s="17"/>
    </row>
    <row r="17" spans="1:12" s="29" customFormat="1" ht="18.75" customHeight="1" x14ac:dyDescent="0.25">
      <c r="A17" s="94" t="s">
        <v>218</v>
      </c>
      <c r="B17" s="40">
        <v>1204</v>
      </c>
      <c r="C17" s="41">
        <v>130</v>
      </c>
      <c r="D17" s="75">
        <f>I17</f>
        <v>150000</v>
      </c>
      <c r="E17" s="75"/>
      <c r="F17" s="75"/>
      <c r="G17" s="75"/>
      <c r="H17" s="41"/>
      <c r="I17" s="75">
        <v>150000</v>
      </c>
      <c r="J17" s="75"/>
      <c r="K17" s="17"/>
    </row>
    <row r="18" spans="1:12" s="29" customFormat="1" ht="33" customHeight="1" x14ac:dyDescent="0.25">
      <c r="A18" s="107" t="s">
        <v>187</v>
      </c>
      <c r="B18" s="40">
        <v>130</v>
      </c>
      <c r="C18" s="41">
        <v>140</v>
      </c>
      <c r="D18" s="75">
        <f>I18</f>
        <v>12752.74</v>
      </c>
      <c r="E18" s="41" t="s">
        <v>7</v>
      </c>
      <c r="F18" s="41"/>
      <c r="G18" s="41" t="s">
        <v>7</v>
      </c>
      <c r="H18" s="41" t="s">
        <v>7</v>
      </c>
      <c r="I18" s="75">
        <v>12752.74</v>
      </c>
      <c r="J18" s="75" t="s">
        <v>7</v>
      </c>
      <c r="K18" s="17"/>
    </row>
    <row r="19" spans="1:12" s="29" customFormat="1" ht="54.75" customHeight="1" x14ac:dyDescent="0.25">
      <c r="A19" s="107" t="s">
        <v>188</v>
      </c>
      <c r="B19" s="40">
        <v>140</v>
      </c>
      <c r="C19" s="41">
        <v>150</v>
      </c>
      <c r="D19" s="75">
        <f>I19</f>
        <v>117452.68</v>
      </c>
      <c r="E19" s="41" t="s">
        <v>7</v>
      </c>
      <c r="F19" s="41"/>
      <c r="G19" s="41" t="s">
        <v>7</v>
      </c>
      <c r="H19" s="41" t="s">
        <v>7</v>
      </c>
      <c r="I19" s="75">
        <f>60000+30000+27452.68</f>
        <v>117452.68</v>
      </c>
      <c r="J19" s="75">
        <v>60000</v>
      </c>
      <c r="K19" s="17"/>
    </row>
    <row r="20" spans="1:12" s="29" customFormat="1" ht="18.75" customHeight="1" x14ac:dyDescent="0.25">
      <c r="A20" s="103" t="s">
        <v>186</v>
      </c>
      <c r="B20" s="104">
        <v>150</v>
      </c>
      <c r="C20" s="105">
        <v>180</v>
      </c>
      <c r="D20" s="106">
        <f>G20</f>
        <v>4998937</v>
      </c>
      <c r="E20" s="105" t="s">
        <v>7</v>
      </c>
      <c r="F20" s="105"/>
      <c r="G20" s="106">
        <f>G27</f>
        <v>4998937</v>
      </c>
      <c r="H20" s="105"/>
      <c r="I20" s="105" t="s">
        <v>7</v>
      </c>
      <c r="J20" s="105" t="s">
        <v>7</v>
      </c>
      <c r="K20" s="17"/>
    </row>
    <row r="21" spans="1:12" s="29" customFormat="1" x14ac:dyDescent="0.25">
      <c r="A21" s="39" t="s">
        <v>86</v>
      </c>
      <c r="B21" s="40">
        <v>160</v>
      </c>
      <c r="C21" s="41">
        <v>180</v>
      </c>
      <c r="D21" s="115">
        <f>I21</f>
        <v>-3868</v>
      </c>
      <c r="E21" s="86" t="s">
        <v>7</v>
      </c>
      <c r="F21" s="86"/>
      <c r="G21" s="75" t="s">
        <v>7</v>
      </c>
      <c r="H21" s="41" t="s">
        <v>7</v>
      </c>
      <c r="I21" s="115">
        <v>-3868</v>
      </c>
      <c r="J21" s="75"/>
      <c r="K21" s="17"/>
    </row>
    <row r="22" spans="1:12" s="29" customFormat="1" ht="150" customHeight="1" x14ac:dyDescent="0.25">
      <c r="A22" s="39" t="s">
        <v>216</v>
      </c>
      <c r="B22" s="40"/>
      <c r="C22" s="41"/>
      <c r="D22" s="109"/>
      <c r="E22" s="86"/>
      <c r="F22" s="86"/>
      <c r="G22" s="75"/>
      <c r="H22" s="41"/>
      <c r="I22" s="109"/>
      <c r="J22" s="41"/>
      <c r="K22" s="17"/>
    </row>
    <row r="23" spans="1:12" s="29" customFormat="1" x14ac:dyDescent="0.25">
      <c r="A23" s="39" t="s">
        <v>194</v>
      </c>
      <c r="B23" s="40">
        <v>180</v>
      </c>
      <c r="C23" s="41" t="s">
        <v>7</v>
      </c>
      <c r="D23" s="148">
        <f>I23</f>
        <v>32865</v>
      </c>
      <c r="E23" s="86"/>
      <c r="F23" s="86"/>
      <c r="G23" s="75"/>
      <c r="H23" s="41"/>
      <c r="I23" s="148">
        <f>I25</f>
        <v>32865</v>
      </c>
      <c r="J23" s="41"/>
      <c r="K23" s="17"/>
    </row>
    <row r="24" spans="1:12" s="29" customFormat="1" x14ac:dyDescent="0.25">
      <c r="A24" s="39" t="s">
        <v>4</v>
      </c>
      <c r="B24" s="40"/>
      <c r="C24" s="41"/>
      <c r="D24" s="75"/>
      <c r="E24" s="86"/>
      <c r="F24" s="86"/>
      <c r="G24" s="75"/>
      <c r="H24" s="41"/>
      <c r="I24" s="75"/>
      <c r="J24" s="41"/>
      <c r="K24" s="17"/>
    </row>
    <row r="25" spans="1:12" s="29" customFormat="1" ht="38.25" x14ac:dyDescent="0.25">
      <c r="A25" s="39" t="s">
        <v>281</v>
      </c>
      <c r="B25" s="40">
        <v>1801</v>
      </c>
      <c r="C25" s="41" t="s">
        <v>7</v>
      </c>
      <c r="D25" s="75">
        <f>I25</f>
        <v>32865</v>
      </c>
      <c r="E25" s="86" t="s">
        <v>7</v>
      </c>
      <c r="F25" s="86"/>
      <c r="G25" s="75" t="s">
        <v>7</v>
      </c>
      <c r="H25" s="41" t="s">
        <v>7</v>
      </c>
      <c r="I25" s="75">
        <v>32865</v>
      </c>
      <c r="J25" s="41" t="s">
        <v>7</v>
      </c>
      <c r="K25" s="17"/>
    </row>
    <row r="26" spans="1:12" s="29" customFormat="1" x14ac:dyDescent="0.25">
      <c r="A26" s="39"/>
      <c r="B26" s="40">
        <v>1802</v>
      </c>
      <c r="C26" s="41" t="s">
        <v>7</v>
      </c>
      <c r="D26" s="75"/>
      <c r="E26" s="86" t="s">
        <v>7</v>
      </c>
      <c r="F26" s="86"/>
      <c r="G26" s="75" t="s">
        <v>7</v>
      </c>
      <c r="H26" s="41" t="s">
        <v>7</v>
      </c>
      <c r="I26" s="75"/>
      <c r="J26" s="41" t="s">
        <v>7</v>
      </c>
      <c r="K26" s="17"/>
    </row>
    <row r="27" spans="1:12" x14ac:dyDescent="0.25">
      <c r="A27" s="72" t="s">
        <v>84</v>
      </c>
      <c r="B27" s="73">
        <v>200</v>
      </c>
      <c r="C27" s="73" t="s">
        <v>7</v>
      </c>
      <c r="D27" s="77">
        <f>D29+ D34+D38+D47</f>
        <v>100110236.08000001</v>
      </c>
      <c r="E27" s="77">
        <f>E47+E29+E34+E38</f>
        <v>83195900</v>
      </c>
      <c r="F27" s="77"/>
      <c r="G27" s="77">
        <f>G47+G29+G34+G38</f>
        <v>4998937</v>
      </c>
      <c r="H27" s="73"/>
      <c r="I27" s="77">
        <f>I29+I47+I38</f>
        <v>11915399.08</v>
      </c>
      <c r="J27" s="77">
        <v>60000</v>
      </c>
      <c r="K27" s="108"/>
      <c r="L27" s="108"/>
    </row>
    <row r="28" spans="1:12" ht="14.25" customHeight="1" x14ac:dyDescent="0.25">
      <c r="A28" s="25" t="s">
        <v>90</v>
      </c>
      <c r="B28" s="42"/>
      <c r="C28" s="42"/>
      <c r="D28" s="42"/>
      <c r="E28" s="42"/>
      <c r="F28" s="42"/>
      <c r="G28" s="42"/>
      <c r="H28" s="42"/>
      <c r="I28" s="42"/>
      <c r="J28" s="42"/>
    </row>
    <row r="29" spans="1:12" x14ac:dyDescent="0.25">
      <c r="A29" s="26" t="s">
        <v>189</v>
      </c>
      <c r="B29" s="42">
        <v>210</v>
      </c>
      <c r="C29" s="42"/>
      <c r="D29" s="76">
        <f>D31+D32+D33</f>
        <v>74802737.350000009</v>
      </c>
      <c r="E29" s="76">
        <f>E31+E32+E33</f>
        <v>69908662.25</v>
      </c>
      <c r="F29" s="76"/>
      <c r="G29" s="76">
        <f>G31+G32+G33</f>
        <v>1345849.9999999998</v>
      </c>
      <c r="H29" s="42"/>
      <c r="I29" s="76">
        <f>I31+I32+I33</f>
        <v>3548225.1</v>
      </c>
      <c r="J29" s="42"/>
    </row>
    <row r="30" spans="1:12" x14ac:dyDescent="0.25">
      <c r="A30" s="26" t="s">
        <v>8</v>
      </c>
      <c r="B30" s="42"/>
      <c r="C30" s="42"/>
      <c r="D30" s="76"/>
      <c r="E30" s="76"/>
      <c r="F30" s="76"/>
      <c r="G30" s="76"/>
      <c r="H30" s="42"/>
      <c r="I30" s="42"/>
      <c r="J30" s="42"/>
    </row>
    <row r="31" spans="1:12" ht="12.75" customHeight="1" x14ac:dyDescent="0.25">
      <c r="A31" s="26" t="s">
        <v>190</v>
      </c>
      <c r="B31" s="42">
        <v>211</v>
      </c>
      <c r="C31" s="42">
        <v>111</v>
      </c>
      <c r="D31" s="76">
        <f>E31+G31+I31</f>
        <v>56381976.550000004</v>
      </c>
      <c r="E31" s="76">
        <f>52826411.2+156117.5+700000</f>
        <v>53682528.700000003</v>
      </c>
      <c r="F31" s="76"/>
      <c r="G31" s="76"/>
      <c r="H31" s="42"/>
      <c r="I31" s="76">
        <v>2699447.85</v>
      </c>
      <c r="J31" s="42"/>
    </row>
    <row r="32" spans="1:12" x14ac:dyDescent="0.25">
      <c r="A32" s="26" t="s">
        <v>191</v>
      </c>
      <c r="B32" s="42">
        <v>212</v>
      </c>
      <c r="C32" s="42">
        <v>112</v>
      </c>
      <c r="D32" s="76">
        <f>E32+G32+I32</f>
        <v>1519920.9999999998</v>
      </c>
      <c r="E32" s="76">
        <f>8500+69937+34855+22000+5235</f>
        <v>140527</v>
      </c>
      <c r="F32" s="76"/>
      <c r="G32" s="76">
        <f>1060000+169719.36+5980.64+110150</f>
        <v>1345849.9999999998</v>
      </c>
      <c r="H32" s="42"/>
      <c r="I32" s="76">
        <v>33544</v>
      </c>
      <c r="J32" s="75"/>
    </row>
    <row r="33" spans="1:12" ht="14.25" customHeight="1" x14ac:dyDescent="0.25">
      <c r="A33" s="26" t="s">
        <v>192</v>
      </c>
      <c r="B33" s="42">
        <v>213</v>
      </c>
      <c r="C33" s="42">
        <v>119</v>
      </c>
      <c r="D33" s="76">
        <f>E33+G33+I33</f>
        <v>16900839.800000001</v>
      </c>
      <c r="E33" s="76">
        <v>16085606.550000001</v>
      </c>
      <c r="F33" s="76"/>
      <c r="G33" s="76"/>
      <c r="H33" s="42"/>
      <c r="I33" s="76">
        <v>815233.25</v>
      </c>
      <c r="J33" s="42"/>
    </row>
    <row r="34" spans="1:12" ht="14.25" customHeight="1" x14ac:dyDescent="0.25">
      <c r="A34" s="68" t="s">
        <v>195</v>
      </c>
      <c r="B34" s="69">
        <v>220</v>
      </c>
      <c r="C34" s="69"/>
      <c r="D34" s="95">
        <f>E34+G34+I34</f>
        <v>1560686.45</v>
      </c>
      <c r="E34" s="95">
        <f>E36+E37</f>
        <v>1300716.45</v>
      </c>
      <c r="F34" s="95"/>
      <c r="G34" s="95">
        <f>G36+G37</f>
        <v>259970</v>
      </c>
      <c r="H34" s="69"/>
      <c r="I34" s="96"/>
      <c r="J34" s="69"/>
      <c r="K34" s="108"/>
    </row>
    <row r="35" spans="1:12" ht="14.25" customHeight="1" x14ac:dyDescent="0.25">
      <c r="A35" s="25" t="s">
        <v>8</v>
      </c>
      <c r="B35" s="42"/>
      <c r="C35" s="42"/>
      <c r="D35" s="76"/>
      <c r="E35" s="76"/>
      <c r="F35" s="76"/>
      <c r="G35" s="76"/>
      <c r="H35" s="42"/>
      <c r="I35" s="78"/>
      <c r="J35" s="42"/>
    </row>
    <row r="36" spans="1:12" ht="39.75" customHeight="1" x14ac:dyDescent="0.25">
      <c r="A36" s="53" t="s">
        <v>215</v>
      </c>
      <c r="B36" s="42">
        <v>2201</v>
      </c>
      <c r="C36" s="42">
        <v>321</v>
      </c>
      <c r="D36" s="76">
        <f>G36+E36</f>
        <v>1300716.45</v>
      </c>
      <c r="E36" s="76">
        <v>1300716.45</v>
      </c>
      <c r="F36" s="76"/>
      <c r="G36" s="76"/>
      <c r="H36" s="42"/>
      <c r="I36" s="78"/>
      <c r="J36" s="42"/>
      <c r="K36" s="108"/>
    </row>
    <row r="37" spans="1:12" ht="40.5" customHeight="1" x14ac:dyDescent="0.25">
      <c r="A37" s="53" t="s">
        <v>278</v>
      </c>
      <c r="B37" s="42">
        <v>2201</v>
      </c>
      <c r="C37" s="42">
        <v>323</v>
      </c>
      <c r="D37" s="76">
        <f>G37</f>
        <v>259970</v>
      </c>
      <c r="E37" s="76"/>
      <c r="F37" s="76"/>
      <c r="G37" s="76">
        <f>201200+58770</f>
        <v>259970</v>
      </c>
      <c r="H37" s="42"/>
      <c r="I37" s="78"/>
      <c r="J37" s="42"/>
      <c r="K37" s="108"/>
    </row>
    <row r="38" spans="1:12" ht="14.25" customHeight="1" x14ac:dyDescent="0.25">
      <c r="A38" s="68" t="s">
        <v>196</v>
      </c>
      <c r="B38" s="69">
        <v>230</v>
      </c>
      <c r="C38" s="69">
        <v>850</v>
      </c>
      <c r="D38" s="95">
        <f>E38+I38</f>
        <v>629675.26</v>
      </c>
      <c r="E38" s="95">
        <f>E40+E41+E42</f>
        <v>613809</v>
      </c>
      <c r="F38" s="95"/>
      <c r="G38" s="95"/>
      <c r="H38" s="69"/>
      <c r="I38" s="95">
        <f>I40+I42+I41</f>
        <v>15866.26</v>
      </c>
      <c r="J38" s="69"/>
      <c r="K38" s="108"/>
    </row>
    <row r="39" spans="1:12" ht="14.25" customHeight="1" x14ac:dyDescent="0.25">
      <c r="A39" s="25" t="s">
        <v>8</v>
      </c>
      <c r="B39" s="42"/>
      <c r="C39" s="42"/>
      <c r="D39" s="76"/>
      <c r="E39" s="76"/>
      <c r="F39" s="76"/>
      <c r="G39" s="76"/>
      <c r="H39" s="42"/>
      <c r="I39" s="78"/>
      <c r="J39" s="42"/>
    </row>
    <row r="40" spans="1:12" ht="14.25" customHeight="1" x14ac:dyDescent="0.25">
      <c r="A40" s="26" t="s">
        <v>197</v>
      </c>
      <c r="B40" s="42">
        <v>2301</v>
      </c>
      <c r="C40" s="42">
        <v>851</v>
      </c>
      <c r="D40" s="76">
        <f>E40+I40</f>
        <v>586416</v>
      </c>
      <c r="E40" s="76">
        <f>278958+307458</f>
        <v>586416</v>
      </c>
      <c r="F40" s="76"/>
      <c r="G40" s="76"/>
      <c r="H40" s="42"/>
      <c r="I40" s="76"/>
      <c r="J40" s="42"/>
    </row>
    <row r="41" spans="1:12" ht="21.6" customHeight="1" x14ac:dyDescent="0.25">
      <c r="A41" s="26" t="s">
        <v>284</v>
      </c>
      <c r="B41" s="42">
        <v>2302</v>
      </c>
      <c r="C41" s="42">
        <v>852</v>
      </c>
      <c r="D41" s="76">
        <f>E41+I41</f>
        <v>30243</v>
      </c>
      <c r="E41" s="76">
        <f>7500+7500+12393</f>
        <v>27393</v>
      </c>
      <c r="F41" s="76"/>
      <c r="G41" s="76"/>
      <c r="H41" s="42"/>
      <c r="I41" s="76">
        <v>2850</v>
      </c>
      <c r="J41" s="42"/>
      <c r="L41" s="108"/>
    </row>
    <row r="42" spans="1:12" ht="22.5" customHeight="1" x14ac:dyDescent="0.25">
      <c r="A42" s="26" t="s">
        <v>283</v>
      </c>
      <c r="B42" s="42">
        <v>2303</v>
      </c>
      <c r="C42" s="42">
        <v>853</v>
      </c>
      <c r="D42" s="76">
        <f>E42+I42</f>
        <v>13016.26</v>
      </c>
      <c r="E42" s="76">
        <v>0</v>
      </c>
      <c r="F42" s="76"/>
      <c r="G42" s="76"/>
      <c r="H42" s="42"/>
      <c r="I42" s="76">
        <f>8816.26+200+4000</f>
        <v>13016.26</v>
      </c>
      <c r="J42" s="42"/>
    </row>
    <row r="43" spans="1:12" ht="19.5" customHeight="1" x14ac:dyDescent="0.25">
      <c r="A43" s="68" t="s">
        <v>198</v>
      </c>
      <c r="B43" s="69">
        <v>240</v>
      </c>
      <c r="C43" s="69"/>
      <c r="D43" s="95"/>
      <c r="E43" s="95"/>
      <c r="F43" s="95"/>
      <c r="G43" s="95"/>
      <c r="H43" s="69"/>
      <c r="I43" s="96"/>
      <c r="J43" s="69"/>
    </row>
    <row r="44" spans="1:12" ht="24" customHeight="1" x14ac:dyDescent="0.25">
      <c r="A44" s="68" t="s">
        <v>199</v>
      </c>
      <c r="B44" s="69">
        <v>250</v>
      </c>
      <c r="C44" s="69"/>
      <c r="D44" s="95"/>
      <c r="E44" s="95"/>
      <c r="F44" s="95"/>
      <c r="G44" s="95"/>
      <c r="H44" s="69"/>
      <c r="I44" s="96"/>
      <c r="J44" s="69"/>
    </row>
    <row r="45" spans="1:12" ht="14.25" customHeight="1" x14ac:dyDescent="0.25">
      <c r="A45" s="26"/>
      <c r="B45" s="42">
        <v>2501</v>
      </c>
      <c r="C45" s="42"/>
      <c r="D45" s="76"/>
      <c r="E45" s="76"/>
      <c r="F45" s="76"/>
      <c r="G45" s="76"/>
      <c r="H45" s="42"/>
      <c r="I45" s="78"/>
      <c r="J45" s="42"/>
    </row>
    <row r="46" spans="1:12" ht="14.25" customHeight="1" x14ac:dyDescent="0.25">
      <c r="A46" s="26"/>
      <c r="B46" s="42">
        <v>2502</v>
      </c>
      <c r="C46" s="42"/>
      <c r="D46" s="76"/>
      <c r="E46" s="76"/>
      <c r="F46" s="76"/>
      <c r="G46" s="76"/>
      <c r="H46" s="42"/>
      <c r="I46" s="78"/>
      <c r="J46" s="42"/>
    </row>
    <row r="47" spans="1:12" x14ac:dyDescent="0.25">
      <c r="A47" s="68" t="s">
        <v>91</v>
      </c>
      <c r="B47" s="69">
        <v>260</v>
      </c>
      <c r="C47" s="69"/>
      <c r="D47" s="87">
        <f>D49+D51+D53+D57+D61+D60+24000+3982.97</f>
        <v>23117137.02</v>
      </c>
      <c r="E47" s="87">
        <f>E49+E51+E53+E57+E61+E60+24000</f>
        <v>11372712.299999999</v>
      </c>
      <c r="F47" s="87"/>
      <c r="G47" s="87">
        <f>G49+G51+G53+G57+G61+G60</f>
        <v>3393117</v>
      </c>
      <c r="H47" s="87"/>
      <c r="I47" s="87">
        <f>I49+I51+I53+I57+I61+I60+3982.97</f>
        <v>8351307.7199999997</v>
      </c>
      <c r="J47" s="95">
        <f>J60+J61</f>
        <v>60000</v>
      </c>
    </row>
    <row r="48" spans="1:12" x14ac:dyDescent="0.25">
      <c r="A48" s="26" t="s">
        <v>8</v>
      </c>
      <c r="B48" s="42"/>
      <c r="C48" s="42"/>
      <c r="D48" s="42"/>
      <c r="E48" s="76"/>
      <c r="F48" s="76"/>
      <c r="G48" s="76"/>
      <c r="H48" s="42"/>
      <c r="I48" s="42"/>
      <c r="J48" s="42"/>
    </row>
    <row r="49" spans="1:12" x14ac:dyDescent="0.25">
      <c r="A49" s="26" t="s">
        <v>157</v>
      </c>
      <c r="B49" s="42">
        <v>2601</v>
      </c>
      <c r="C49" s="42">
        <v>244</v>
      </c>
      <c r="D49" s="76">
        <f>E49+G49+I49</f>
        <v>234794.07</v>
      </c>
      <c r="E49" s="76">
        <v>211220</v>
      </c>
      <c r="F49" s="76"/>
      <c r="G49" s="76"/>
      <c r="H49" s="42"/>
      <c r="I49" s="76">
        <f>7474.07+8300+7800</f>
        <v>23574.07</v>
      </c>
      <c r="J49" s="42"/>
    </row>
    <row r="50" spans="1:12" x14ac:dyDescent="0.25">
      <c r="A50" s="26" t="s">
        <v>158</v>
      </c>
      <c r="B50" s="42">
        <v>2602</v>
      </c>
      <c r="C50" s="42">
        <v>244</v>
      </c>
      <c r="D50" s="76">
        <f>E50+G50+I50</f>
        <v>0</v>
      </c>
      <c r="E50" s="76">
        <v>0</v>
      </c>
      <c r="F50" s="76"/>
      <c r="G50" s="76"/>
      <c r="H50" s="42"/>
      <c r="I50" s="76"/>
      <c r="J50" s="42"/>
    </row>
    <row r="51" spans="1:12" x14ac:dyDescent="0.25">
      <c r="A51" s="26" t="s">
        <v>159</v>
      </c>
      <c r="B51" s="42">
        <v>2603</v>
      </c>
      <c r="C51" s="42">
        <v>244</v>
      </c>
      <c r="D51" s="76">
        <f>E51+G51+I51</f>
        <v>4067542.14</v>
      </c>
      <c r="E51" s="76">
        <f>2394449.85</f>
        <v>2394449.85</v>
      </c>
      <c r="F51" s="76"/>
      <c r="G51" s="76"/>
      <c r="H51" s="42"/>
      <c r="I51" s="76">
        <f>1200000+21925.3+451166.99</f>
        <v>1673092.29</v>
      </c>
      <c r="J51" s="42"/>
    </row>
    <row r="52" spans="1:12" x14ac:dyDescent="0.25">
      <c r="A52" s="26" t="s">
        <v>160</v>
      </c>
      <c r="B52" s="42">
        <v>2604</v>
      </c>
      <c r="C52" s="42"/>
      <c r="D52" s="42"/>
      <c r="E52" s="78"/>
      <c r="F52" s="78"/>
      <c r="G52" s="76"/>
      <c r="H52" s="42"/>
      <c r="I52" s="42"/>
      <c r="J52" s="42"/>
    </row>
    <row r="53" spans="1:12" x14ac:dyDescent="0.25">
      <c r="A53" s="26" t="s">
        <v>250</v>
      </c>
      <c r="B53" s="42">
        <v>2605</v>
      </c>
      <c r="C53" s="42">
        <v>244</v>
      </c>
      <c r="D53" s="76">
        <f>E53+G53+I53</f>
        <v>3084511.1799999997</v>
      </c>
      <c r="E53" s="76">
        <f>1687171.52-15000-55000-5000</f>
        <v>1612171.52</v>
      </c>
      <c r="F53" s="76"/>
      <c r="G53" s="76">
        <f>100000+85800+92300+98672+61536-85800</f>
        <v>352508</v>
      </c>
      <c r="H53" s="42"/>
      <c r="I53" s="76">
        <f>922000+5527.38+192304.28</f>
        <v>1119831.6599999999</v>
      </c>
      <c r="J53" s="42"/>
    </row>
    <row r="54" spans="1:12" x14ac:dyDescent="0.25">
      <c r="A54" s="26" t="s">
        <v>4</v>
      </c>
      <c r="B54" s="42"/>
      <c r="C54" s="42"/>
      <c r="D54" s="42"/>
      <c r="E54" s="78"/>
      <c r="F54" s="78"/>
      <c r="G54" s="76"/>
      <c r="H54" s="42"/>
      <c r="I54" s="42"/>
      <c r="J54" s="42"/>
    </row>
    <row r="55" spans="1:12" x14ac:dyDescent="0.25">
      <c r="A55" s="26" t="s">
        <v>200</v>
      </c>
      <c r="B55" s="42"/>
      <c r="C55" s="42">
        <v>244</v>
      </c>
      <c r="D55" s="76">
        <f>E55+G55</f>
        <v>57000</v>
      </c>
      <c r="E55" s="76">
        <f>52000+5000</f>
        <v>57000</v>
      </c>
      <c r="F55" s="76"/>
      <c r="G55" s="76"/>
      <c r="H55" s="42"/>
      <c r="I55" s="42"/>
      <c r="J55" s="42"/>
    </row>
    <row r="56" spans="1:12" x14ac:dyDescent="0.25">
      <c r="A56" s="26" t="s">
        <v>201</v>
      </c>
      <c r="B56" s="42"/>
      <c r="C56" s="42">
        <v>244</v>
      </c>
      <c r="D56" s="76">
        <f>E56+G56+I56</f>
        <v>950239.65999999992</v>
      </c>
      <c r="E56" s="76">
        <f>41714.8+276616.86+39400+165000</f>
        <v>522731.66</v>
      </c>
      <c r="F56" s="76"/>
      <c r="G56" s="76">
        <f>100000+92300+98672+61536</f>
        <v>352508</v>
      </c>
      <c r="H56" s="42"/>
      <c r="I56" s="76">
        <v>75000</v>
      </c>
      <c r="J56" s="42"/>
    </row>
    <row r="57" spans="1:12" ht="14.25" customHeight="1" x14ac:dyDescent="0.25">
      <c r="A57" s="26" t="s">
        <v>251</v>
      </c>
      <c r="B57" s="42">
        <v>2606</v>
      </c>
      <c r="C57" s="42">
        <v>244</v>
      </c>
      <c r="D57" s="76">
        <f>E57+G57</f>
        <v>3737084.71</v>
      </c>
      <c r="E57" s="76">
        <f>3362728.71+246774+34950</f>
        <v>3644452.71</v>
      </c>
      <c r="F57" s="76"/>
      <c r="G57" s="76">
        <f>25000+67632</f>
        <v>92632</v>
      </c>
      <c r="H57" s="42"/>
      <c r="I57" s="76"/>
      <c r="J57" s="42"/>
    </row>
    <row r="58" spans="1:12" x14ac:dyDescent="0.25">
      <c r="A58" s="26" t="s">
        <v>156</v>
      </c>
      <c r="B58" s="42"/>
      <c r="C58" s="42"/>
      <c r="D58" s="76"/>
      <c r="E58" s="78"/>
      <c r="F58" s="78"/>
      <c r="G58" s="76"/>
      <c r="H58" s="42"/>
      <c r="I58" s="42"/>
      <c r="J58" s="42"/>
      <c r="L58" s="108"/>
    </row>
    <row r="59" spans="1:12" x14ac:dyDescent="0.25">
      <c r="A59" s="26" t="s">
        <v>161</v>
      </c>
      <c r="B59" s="42"/>
      <c r="C59" s="42"/>
      <c r="D59" s="76"/>
      <c r="E59" s="78"/>
      <c r="F59" s="78"/>
      <c r="G59" s="76"/>
      <c r="H59" s="42"/>
      <c r="I59" s="42"/>
      <c r="J59" s="42"/>
    </row>
    <row r="60" spans="1:12" x14ac:dyDescent="0.25">
      <c r="A60" s="26" t="s">
        <v>152</v>
      </c>
      <c r="B60" s="42">
        <v>2607</v>
      </c>
      <c r="C60" s="42">
        <v>244</v>
      </c>
      <c r="D60" s="76">
        <f>E60+G60+I60</f>
        <v>3189574.45</v>
      </c>
      <c r="E60" s="76">
        <f>383684.45+15000+55000+5000+4000</f>
        <v>462684.45</v>
      </c>
      <c r="F60" s="78"/>
      <c r="G60" s="76">
        <f>20000+30000+58000+30000+2484300+43000-1300</f>
        <v>2664000</v>
      </c>
      <c r="H60" s="42"/>
      <c r="I60" s="76">
        <f>32890+30000</f>
        <v>62890</v>
      </c>
      <c r="J60" s="76">
        <v>32890</v>
      </c>
    </row>
    <row r="61" spans="1:12" ht="25.5" x14ac:dyDescent="0.25">
      <c r="A61" s="26" t="s">
        <v>252</v>
      </c>
      <c r="B61" s="42">
        <v>2608</v>
      </c>
      <c r="C61" s="42">
        <v>244</v>
      </c>
      <c r="D61" s="76">
        <f>E61+I61+G61</f>
        <v>8775647.5</v>
      </c>
      <c r="E61" s="76">
        <v>3023733.77</v>
      </c>
      <c r="F61" s="76"/>
      <c r="G61" s="76">
        <f>31592+208285+21000+21800+1300</f>
        <v>283977</v>
      </c>
      <c r="H61" s="42"/>
      <c r="I61" s="76">
        <f>5375336.73+92600</f>
        <v>5467936.7300000004</v>
      </c>
      <c r="J61" s="147">
        <v>27110</v>
      </c>
    </row>
    <row r="62" spans="1:12" x14ac:dyDescent="0.25">
      <c r="A62" s="74" t="s">
        <v>4</v>
      </c>
      <c r="B62" s="42"/>
      <c r="C62" s="42"/>
      <c r="D62" s="76"/>
      <c r="E62" s="78"/>
      <c r="F62" s="78"/>
      <c r="G62" s="76"/>
      <c r="H62" s="42"/>
      <c r="I62" s="42"/>
      <c r="J62" s="42"/>
      <c r="K62" s="108"/>
    </row>
    <row r="63" spans="1:12" x14ac:dyDescent="0.25">
      <c r="A63" s="74" t="s">
        <v>253</v>
      </c>
      <c r="B63" s="42"/>
      <c r="C63" s="42">
        <v>244</v>
      </c>
      <c r="D63" s="76">
        <f>E63+I63+G63</f>
        <v>41620</v>
      </c>
      <c r="E63" s="76">
        <v>6620</v>
      </c>
      <c r="F63" s="78"/>
      <c r="G63" s="76"/>
      <c r="H63" s="42"/>
      <c r="I63" s="76">
        <f>35000</f>
        <v>35000</v>
      </c>
      <c r="J63" s="42"/>
      <c r="K63" s="108"/>
    </row>
    <row r="64" spans="1:12" x14ac:dyDescent="0.25">
      <c r="A64" s="74" t="s">
        <v>162</v>
      </c>
      <c r="B64" s="42"/>
      <c r="C64" s="42">
        <v>244</v>
      </c>
      <c r="D64" s="76">
        <f>E64+I64</f>
        <v>435936</v>
      </c>
      <c r="E64" s="76">
        <v>435936</v>
      </c>
      <c r="F64" s="76"/>
      <c r="G64" s="76"/>
      <c r="H64" s="42"/>
      <c r="I64" s="76"/>
      <c r="J64" s="42"/>
    </row>
    <row r="65" spans="1:11" x14ac:dyDescent="0.25">
      <c r="A65" s="74" t="s">
        <v>163</v>
      </c>
      <c r="B65" s="42"/>
      <c r="C65" s="42">
        <v>244</v>
      </c>
      <c r="D65" s="76">
        <f>E65+G65+I65</f>
        <v>6095671.0099999998</v>
      </c>
      <c r="E65" s="76">
        <v>1649691.23</v>
      </c>
      <c r="F65" s="76"/>
      <c r="G65" s="76"/>
      <c r="H65" s="42"/>
      <c r="I65" s="76">
        <f>4556923.23-110943.33-0.12</f>
        <v>4445979.78</v>
      </c>
      <c r="J65" s="42"/>
    </row>
    <row r="66" spans="1:11" x14ac:dyDescent="0.25">
      <c r="A66" s="74" t="s">
        <v>164</v>
      </c>
      <c r="B66" s="42"/>
      <c r="C66" s="42">
        <v>244</v>
      </c>
      <c r="D66" s="76">
        <f>E66+G66+I66</f>
        <v>551836</v>
      </c>
      <c r="E66" s="76">
        <v>291836</v>
      </c>
      <c r="F66" s="78"/>
      <c r="G66" s="76"/>
      <c r="H66" s="42"/>
      <c r="I66" s="76">
        <f>245000+15000</f>
        <v>260000</v>
      </c>
      <c r="J66" s="42"/>
    </row>
    <row r="67" spans="1:11" x14ac:dyDescent="0.25">
      <c r="A67" s="74" t="s">
        <v>245</v>
      </c>
      <c r="B67" s="42">
        <v>270</v>
      </c>
      <c r="C67" s="42"/>
      <c r="D67" s="78"/>
      <c r="E67" s="78"/>
      <c r="F67" s="78"/>
      <c r="G67" s="76"/>
      <c r="H67" s="42"/>
      <c r="I67" s="76"/>
      <c r="J67" s="42"/>
    </row>
    <row r="68" spans="1:11" x14ac:dyDescent="0.25">
      <c r="A68" s="70" t="s">
        <v>202</v>
      </c>
      <c r="B68" s="71">
        <v>300</v>
      </c>
      <c r="C68" s="71" t="s">
        <v>7</v>
      </c>
      <c r="D68" s="97"/>
      <c r="E68" s="97"/>
      <c r="F68" s="97"/>
      <c r="G68" s="98"/>
      <c r="H68" s="99"/>
      <c r="I68" s="99"/>
      <c r="J68" s="99"/>
    </row>
    <row r="69" spans="1:11" x14ac:dyDescent="0.25">
      <c r="A69" s="25" t="s">
        <v>8</v>
      </c>
      <c r="B69" s="42"/>
      <c r="C69" s="42"/>
      <c r="D69" s="78"/>
      <c r="E69" s="78"/>
      <c r="F69" s="78"/>
      <c r="G69" s="76"/>
      <c r="H69" s="42"/>
      <c r="I69" s="42"/>
      <c r="J69" s="42"/>
    </row>
    <row r="70" spans="1:11" x14ac:dyDescent="0.25">
      <c r="A70" s="26" t="s">
        <v>203</v>
      </c>
      <c r="B70" s="42">
        <v>310</v>
      </c>
      <c r="C70" s="42"/>
      <c r="D70" s="78"/>
      <c r="E70" s="78"/>
      <c r="F70" s="78"/>
      <c r="G70" s="76"/>
      <c r="H70" s="42"/>
      <c r="I70" s="42"/>
      <c r="J70" s="42"/>
    </row>
    <row r="71" spans="1:11" x14ac:dyDescent="0.25">
      <c r="A71" s="26" t="s">
        <v>204</v>
      </c>
      <c r="B71" s="42">
        <v>320</v>
      </c>
      <c r="C71" s="42"/>
      <c r="D71" s="78"/>
      <c r="E71" s="78"/>
      <c r="F71" s="78"/>
      <c r="G71" s="76"/>
      <c r="H71" s="42"/>
      <c r="I71" s="42"/>
      <c r="J71" s="42"/>
    </row>
    <row r="72" spans="1:11" x14ac:dyDescent="0.25">
      <c r="A72" s="72" t="s">
        <v>205</v>
      </c>
      <c r="B72" s="73">
        <v>400</v>
      </c>
      <c r="C72" s="73"/>
      <c r="D72" s="100"/>
      <c r="E72" s="100"/>
      <c r="F72" s="100"/>
      <c r="G72" s="101"/>
      <c r="H72" s="102"/>
      <c r="I72" s="102"/>
      <c r="J72" s="102"/>
    </row>
    <row r="73" spans="1:11" x14ac:dyDescent="0.25">
      <c r="A73" s="25" t="s">
        <v>8</v>
      </c>
      <c r="B73" s="42"/>
      <c r="C73" s="42"/>
      <c r="D73" s="78"/>
      <c r="E73" s="78"/>
      <c r="F73" s="78"/>
      <c r="G73" s="76"/>
      <c r="H73" s="42"/>
      <c r="I73" s="42"/>
      <c r="J73" s="42"/>
    </row>
    <row r="74" spans="1:11" x14ac:dyDescent="0.25">
      <c r="A74" s="26" t="s">
        <v>206</v>
      </c>
      <c r="B74" s="42">
        <v>410</v>
      </c>
      <c r="C74" s="42"/>
      <c r="D74" s="78"/>
      <c r="E74" s="78"/>
      <c r="F74" s="78"/>
      <c r="G74" s="76"/>
      <c r="H74" s="42"/>
      <c r="I74" s="42"/>
      <c r="J74" s="42"/>
    </row>
    <row r="75" spans="1:11" x14ac:dyDescent="0.25">
      <c r="A75" s="26" t="s">
        <v>207</v>
      </c>
      <c r="B75" s="42">
        <v>420</v>
      </c>
      <c r="C75" s="42"/>
      <c r="D75" s="78"/>
      <c r="E75" s="78"/>
      <c r="F75" s="78"/>
      <c r="G75" s="76"/>
      <c r="H75" s="42"/>
      <c r="I75" s="42"/>
      <c r="J75" s="42"/>
    </row>
    <row r="76" spans="1:11" x14ac:dyDescent="0.25">
      <c r="A76" s="47" t="s">
        <v>9</v>
      </c>
      <c r="B76" s="45">
        <v>500</v>
      </c>
      <c r="C76" s="45" t="s">
        <v>7</v>
      </c>
      <c r="D76" s="82">
        <f>I76</f>
        <v>616125.39</v>
      </c>
      <c r="E76" s="47"/>
      <c r="F76" s="47"/>
      <c r="G76" s="47"/>
      <c r="H76" s="47"/>
      <c r="I76" s="82">
        <v>616125.39</v>
      </c>
      <c r="J76" s="45"/>
      <c r="K76" s="108"/>
    </row>
    <row r="77" spans="1:11" x14ac:dyDescent="0.25">
      <c r="A77" s="47" t="s">
        <v>10</v>
      </c>
      <c r="B77" s="45">
        <v>600</v>
      </c>
      <c r="C77" s="45" t="s">
        <v>7</v>
      </c>
      <c r="D77" s="45"/>
      <c r="E77" s="45"/>
      <c r="F77" s="45"/>
      <c r="G77" s="45"/>
      <c r="H77" s="45"/>
      <c r="I77" s="45"/>
      <c r="J77" s="45"/>
    </row>
    <row r="78" spans="1:11" x14ac:dyDescent="0.25">
      <c r="A78" s="48"/>
      <c r="B78" s="49"/>
      <c r="C78" s="49"/>
      <c r="D78" s="49"/>
      <c r="E78" s="49"/>
      <c r="F78" s="49"/>
      <c r="G78" s="49"/>
      <c r="H78" s="49"/>
      <c r="I78" s="49"/>
      <c r="J78" s="49"/>
    </row>
    <row r="79" spans="1:11" ht="33" customHeight="1" x14ac:dyDescent="0.25">
      <c r="A79" s="262"/>
      <c r="B79" s="262"/>
      <c r="C79" s="262"/>
      <c r="D79" s="262"/>
      <c r="E79" s="262"/>
      <c r="F79" s="262"/>
      <c r="G79" s="262"/>
      <c r="H79" s="262"/>
      <c r="I79" s="262"/>
      <c r="J79" s="262"/>
    </row>
    <row r="80" spans="1:11" x14ac:dyDescent="0.25">
      <c r="A80" s="2"/>
      <c r="B80" s="18"/>
      <c r="C80" s="18"/>
      <c r="D80" s="18"/>
      <c r="E80" s="18"/>
      <c r="F80" s="18"/>
      <c r="G80" s="18"/>
      <c r="H80" s="18"/>
      <c r="I80" s="18"/>
      <c r="J80" s="18"/>
    </row>
    <row r="81" spans="1:10" x14ac:dyDescent="0.25">
      <c r="A81" s="2"/>
      <c r="B81" s="18"/>
      <c r="C81" s="18"/>
      <c r="D81" s="18"/>
      <c r="E81" s="18"/>
      <c r="F81" s="18"/>
      <c r="G81" s="18"/>
      <c r="H81" s="18"/>
      <c r="I81" s="18"/>
      <c r="J81" s="18"/>
    </row>
    <row r="82" spans="1:10" x14ac:dyDescent="0.25">
      <c r="A82" s="2"/>
      <c r="B82" s="18"/>
      <c r="C82" s="18"/>
      <c r="D82" s="18"/>
      <c r="E82" s="18"/>
      <c r="F82" s="18"/>
      <c r="G82" s="18"/>
      <c r="H82" s="18"/>
      <c r="I82" s="18"/>
      <c r="J82" s="18"/>
    </row>
    <row r="83" spans="1:10" x14ac:dyDescent="0.25">
      <c r="A83" s="2"/>
      <c r="B83" s="18"/>
      <c r="C83" s="18"/>
      <c r="D83" s="18"/>
      <c r="E83" s="18"/>
      <c r="F83" s="18"/>
      <c r="G83" s="18"/>
      <c r="H83" s="18"/>
      <c r="I83" s="18"/>
      <c r="J83" s="18"/>
    </row>
    <row r="84" spans="1:10" x14ac:dyDescent="0.25">
      <c r="A84" s="2"/>
      <c r="B84" s="18"/>
      <c r="C84" s="18"/>
      <c r="D84" s="18"/>
      <c r="E84" s="18"/>
      <c r="F84" s="18"/>
      <c r="G84" s="18"/>
      <c r="H84" s="18"/>
      <c r="I84" s="18"/>
      <c r="J84" s="18"/>
    </row>
    <row r="85" spans="1:10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</row>
    <row r="86" spans="1:10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</row>
    <row r="87" spans="1:10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</row>
    <row r="88" spans="1:10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</row>
    <row r="89" spans="1:10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</row>
    <row r="90" spans="1:10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</row>
    <row r="91" spans="1:10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</row>
    <row r="92" spans="1:10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</row>
    <row r="93" spans="1:10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</row>
    <row r="94" spans="1:10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</row>
    <row r="95" spans="1:10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</row>
    <row r="96" spans="1:10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</row>
    <row r="97" spans="1:10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</row>
    <row r="98" spans="1:10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</row>
    <row r="99" spans="1:10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</row>
    <row r="100" spans="1:10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</row>
    <row r="101" spans="1:10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</row>
    <row r="102" spans="1:10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</row>
    <row r="103" spans="1:10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</row>
    <row r="104" spans="1:10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</row>
    <row r="105" spans="1:10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</row>
    <row r="106" spans="1:10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</row>
    <row r="107" spans="1:10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</row>
    <row r="108" spans="1:10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</row>
  </sheetData>
  <mergeCells count="14">
    <mergeCell ref="G6:G7"/>
    <mergeCell ref="H6:H7"/>
    <mergeCell ref="I6:J6"/>
    <mergeCell ref="A79:J79"/>
    <mergeCell ref="A1:J1"/>
    <mergeCell ref="A2:J2"/>
    <mergeCell ref="A4:A7"/>
    <mergeCell ref="B4:B7"/>
    <mergeCell ref="C4:C7"/>
    <mergeCell ref="D4:J4"/>
    <mergeCell ref="D5:D7"/>
    <mergeCell ref="E5:J5"/>
    <mergeCell ref="E6:E7"/>
    <mergeCell ref="F6:F7"/>
  </mergeCells>
  <pageMargins left="0.23622047244094491" right="0.19685039370078741" top="0.27559055118110237" bottom="0.23622047244094491" header="0.15748031496062992" footer="0.15748031496062992"/>
  <pageSetup paperSize="9" scale="75" fitToHeight="2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08"/>
  <sheetViews>
    <sheetView view="pageBreakPreview" zoomScale="90" zoomScaleNormal="100" zoomScaleSheetLayoutView="90" workbookViewId="0">
      <selection activeCell="I47" sqref="I47"/>
    </sheetView>
  </sheetViews>
  <sheetFormatPr defaultColWidth="9.140625" defaultRowHeight="12.75" x14ac:dyDescent="0.25"/>
  <cols>
    <col min="1" max="1" width="42.140625" style="17" customWidth="1"/>
    <col min="2" max="2" width="7" style="17" customWidth="1"/>
    <col min="3" max="3" width="11.5703125" style="17" customWidth="1"/>
    <col min="4" max="4" width="16.42578125" style="17" customWidth="1"/>
    <col min="5" max="6" width="21.140625" style="17" customWidth="1"/>
    <col min="7" max="7" width="20.140625" style="17" customWidth="1"/>
    <col min="8" max="8" width="14.7109375" style="17" customWidth="1"/>
    <col min="9" max="10" width="13.42578125" style="17" customWidth="1"/>
    <col min="11" max="11" width="21.85546875" style="17" customWidth="1"/>
    <col min="12" max="12" width="12.28515625" style="17" bestFit="1" customWidth="1"/>
    <col min="13" max="16384" width="9.140625" style="17"/>
  </cols>
  <sheetData>
    <row r="1" spans="1:12" ht="20.25" customHeight="1" x14ac:dyDescent="0.25">
      <c r="A1" s="263" t="s">
        <v>141</v>
      </c>
      <c r="B1" s="263"/>
      <c r="C1" s="263"/>
      <c r="D1" s="263"/>
      <c r="E1" s="263"/>
      <c r="F1" s="263"/>
      <c r="G1" s="263"/>
      <c r="H1" s="263"/>
      <c r="I1" s="263"/>
      <c r="J1" s="263"/>
    </row>
    <row r="2" spans="1:12" ht="25.5" customHeight="1" x14ac:dyDescent="0.25">
      <c r="A2" s="263" t="s">
        <v>248</v>
      </c>
      <c r="B2" s="263"/>
      <c r="C2" s="263"/>
      <c r="D2" s="263"/>
      <c r="E2" s="263"/>
      <c r="F2" s="263"/>
      <c r="G2" s="263"/>
      <c r="H2" s="263"/>
      <c r="I2" s="263"/>
      <c r="J2" s="263"/>
    </row>
    <row r="3" spans="1:12" ht="19.5" customHeight="1" x14ac:dyDescent="0.25">
      <c r="A3" s="123"/>
      <c r="B3" s="123"/>
      <c r="C3" s="123"/>
      <c r="D3" s="123"/>
      <c r="E3" s="123"/>
      <c r="F3" s="124"/>
      <c r="G3" s="123"/>
      <c r="H3" s="123"/>
      <c r="I3" s="123"/>
      <c r="J3" s="123"/>
    </row>
    <row r="4" spans="1:12" ht="21.75" customHeight="1" x14ac:dyDescent="0.25">
      <c r="A4" s="259" t="s">
        <v>0</v>
      </c>
      <c r="B4" s="259" t="s">
        <v>1</v>
      </c>
      <c r="C4" s="259" t="s">
        <v>92</v>
      </c>
      <c r="D4" s="259" t="s">
        <v>2</v>
      </c>
      <c r="E4" s="259"/>
      <c r="F4" s="259"/>
      <c r="G4" s="259"/>
      <c r="H4" s="259"/>
      <c r="I4" s="259"/>
      <c r="J4" s="259"/>
    </row>
    <row r="5" spans="1:12" x14ac:dyDescent="0.25">
      <c r="A5" s="259"/>
      <c r="B5" s="259"/>
      <c r="C5" s="259"/>
      <c r="D5" s="264" t="s">
        <v>28</v>
      </c>
      <c r="E5" s="265" t="s">
        <v>4</v>
      </c>
      <c r="F5" s="265"/>
      <c r="G5" s="265"/>
      <c r="H5" s="265"/>
      <c r="I5" s="265"/>
      <c r="J5" s="265"/>
    </row>
    <row r="6" spans="1:12" ht="63.75" customHeight="1" x14ac:dyDescent="0.25">
      <c r="A6" s="259"/>
      <c r="B6" s="259"/>
      <c r="C6" s="259"/>
      <c r="D6" s="264"/>
      <c r="E6" s="266" t="s">
        <v>242</v>
      </c>
      <c r="F6" s="266" t="s">
        <v>243</v>
      </c>
      <c r="G6" s="259" t="s">
        <v>87</v>
      </c>
      <c r="H6" s="259" t="s">
        <v>88</v>
      </c>
      <c r="I6" s="260" t="s">
        <v>89</v>
      </c>
      <c r="J6" s="261"/>
    </row>
    <row r="7" spans="1:12" ht="73.900000000000006" customHeight="1" x14ac:dyDescent="0.25">
      <c r="A7" s="259"/>
      <c r="B7" s="259"/>
      <c r="C7" s="259"/>
      <c r="D7" s="264"/>
      <c r="E7" s="267"/>
      <c r="F7" s="267"/>
      <c r="G7" s="259"/>
      <c r="H7" s="259"/>
      <c r="I7" s="122" t="s">
        <v>3</v>
      </c>
      <c r="J7" s="121" t="s">
        <v>5</v>
      </c>
    </row>
    <row r="8" spans="1:12" x14ac:dyDescent="0.25">
      <c r="A8" s="42">
        <v>1</v>
      </c>
      <c r="B8" s="42">
        <v>2</v>
      </c>
      <c r="C8" s="42">
        <v>3</v>
      </c>
      <c r="D8" s="42">
        <v>4</v>
      </c>
      <c r="E8" s="42">
        <v>5</v>
      </c>
      <c r="F8" s="50" t="s">
        <v>244</v>
      </c>
      <c r="G8" s="42">
        <v>6</v>
      </c>
      <c r="H8" s="42">
        <v>7</v>
      </c>
      <c r="I8" s="42">
        <v>8</v>
      </c>
      <c r="J8" s="42">
        <v>9</v>
      </c>
    </row>
    <row r="9" spans="1:12" ht="25.5" customHeight="1" x14ac:dyDescent="0.25">
      <c r="A9" s="70" t="s">
        <v>6</v>
      </c>
      <c r="B9" s="71">
        <v>100</v>
      </c>
      <c r="C9" s="71" t="s">
        <v>7</v>
      </c>
      <c r="D9" s="85">
        <f>D12+D20+D21</f>
        <v>95440500</v>
      </c>
      <c r="E9" s="85">
        <f>E12</f>
        <v>84840500</v>
      </c>
      <c r="F9" s="85"/>
      <c r="G9" s="85">
        <f>G20</f>
        <v>0</v>
      </c>
      <c r="H9" s="85">
        <v>0</v>
      </c>
      <c r="I9" s="85">
        <f>I12+I21</f>
        <v>10600000</v>
      </c>
      <c r="J9" s="71"/>
    </row>
    <row r="10" spans="1:12" ht="14.25" customHeight="1" x14ac:dyDescent="0.25">
      <c r="A10" s="25" t="s">
        <v>4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2" x14ac:dyDescent="0.25">
      <c r="A11" s="68" t="s">
        <v>85</v>
      </c>
      <c r="B11" s="69">
        <v>110</v>
      </c>
      <c r="C11" s="69">
        <v>120</v>
      </c>
      <c r="D11" s="69"/>
      <c r="E11" s="69" t="s">
        <v>7</v>
      </c>
      <c r="F11" s="69"/>
      <c r="G11" s="69" t="s">
        <v>7</v>
      </c>
      <c r="H11" s="69" t="s">
        <v>7</v>
      </c>
      <c r="I11" s="69"/>
      <c r="J11" s="69" t="s">
        <v>7</v>
      </c>
    </row>
    <row r="12" spans="1:12" ht="15.75" customHeight="1" x14ac:dyDescent="0.25">
      <c r="A12" s="68" t="s">
        <v>153</v>
      </c>
      <c r="B12" s="69">
        <v>120</v>
      </c>
      <c r="C12" s="69">
        <v>130</v>
      </c>
      <c r="D12" s="95">
        <f>D14+D15</f>
        <v>95440500</v>
      </c>
      <c r="E12" s="95">
        <f>E14+E15</f>
        <v>84840500</v>
      </c>
      <c r="F12" s="95"/>
      <c r="G12" s="69" t="s">
        <v>7</v>
      </c>
      <c r="H12" s="69" t="s">
        <v>7</v>
      </c>
      <c r="I12" s="95">
        <f>I14</f>
        <v>10600000</v>
      </c>
      <c r="J12" s="69"/>
    </row>
    <row r="13" spans="1:12" s="29" customFormat="1" ht="14.25" customHeight="1" x14ac:dyDescent="0.25">
      <c r="A13" s="43" t="s">
        <v>4</v>
      </c>
      <c r="B13" s="41"/>
      <c r="C13" s="41"/>
      <c r="D13" s="41"/>
      <c r="E13" s="41"/>
      <c r="F13" s="41"/>
      <c r="G13" s="41"/>
      <c r="H13" s="41"/>
      <c r="I13" s="41"/>
      <c r="J13" s="41"/>
      <c r="K13" s="17"/>
    </row>
    <row r="14" spans="1:12" s="29" customFormat="1" ht="36" customHeight="1" x14ac:dyDescent="0.25">
      <c r="A14" s="94" t="s">
        <v>246</v>
      </c>
      <c r="B14" s="40">
        <v>1201</v>
      </c>
      <c r="C14" s="41">
        <v>130</v>
      </c>
      <c r="D14" s="75">
        <f>E14+I14</f>
        <v>94989200</v>
      </c>
      <c r="E14" s="75">
        <f>84840500-451300</f>
        <v>84389200</v>
      </c>
      <c r="F14" s="75"/>
      <c r="G14" s="75">
        <v>0</v>
      </c>
      <c r="H14" s="41"/>
      <c r="I14" s="75">
        <v>10600000</v>
      </c>
      <c r="J14" s="75"/>
      <c r="K14" s="17"/>
      <c r="L14" s="114"/>
    </row>
    <row r="15" spans="1:12" s="29" customFormat="1" ht="49.5" customHeight="1" x14ac:dyDescent="0.25">
      <c r="A15" s="111" t="s">
        <v>221</v>
      </c>
      <c r="B15" s="40">
        <v>1202</v>
      </c>
      <c r="C15" s="41">
        <v>130</v>
      </c>
      <c r="D15" s="75">
        <f>E15</f>
        <v>451300</v>
      </c>
      <c r="E15" s="75">
        <v>451300</v>
      </c>
      <c r="F15" s="75"/>
      <c r="G15" s="75"/>
      <c r="H15" s="41"/>
      <c r="I15" s="75"/>
      <c r="J15" s="75"/>
      <c r="K15" s="17"/>
    </row>
    <row r="16" spans="1:12" s="29" customFormat="1" ht="59.25" customHeight="1" x14ac:dyDescent="0.25">
      <c r="A16" s="94" t="s">
        <v>222</v>
      </c>
      <c r="B16" s="40">
        <v>1203</v>
      </c>
      <c r="C16" s="41"/>
      <c r="D16" s="75"/>
      <c r="E16" s="75"/>
      <c r="F16" s="75"/>
      <c r="G16" s="75"/>
      <c r="H16" s="41"/>
      <c r="I16" s="75"/>
      <c r="J16" s="75"/>
      <c r="K16" s="17"/>
    </row>
    <row r="17" spans="1:11" s="29" customFormat="1" ht="18.75" customHeight="1" x14ac:dyDescent="0.25">
      <c r="A17" s="94" t="s">
        <v>218</v>
      </c>
      <c r="B17" s="40">
        <v>1204</v>
      </c>
      <c r="C17" s="41"/>
      <c r="D17" s="75"/>
      <c r="E17" s="75"/>
      <c r="F17" s="75"/>
      <c r="G17" s="75"/>
      <c r="H17" s="41"/>
      <c r="I17" s="75"/>
      <c r="J17" s="75"/>
      <c r="K17" s="17"/>
    </row>
    <row r="18" spans="1:11" s="29" customFormat="1" ht="33" customHeight="1" x14ac:dyDescent="0.25">
      <c r="A18" s="107" t="s">
        <v>187</v>
      </c>
      <c r="B18" s="40">
        <v>130</v>
      </c>
      <c r="C18" s="41"/>
      <c r="D18" s="75"/>
      <c r="E18" s="41" t="s">
        <v>7</v>
      </c>
      <c r="F18" s="41"/>
      <c r="G18" s="41" t="s">
        <v>7</v>
      </c>
      <c r="H18" s="41" t="s">
        <v>7</v>
      </c>
      <c r="I18" s="75"/>
      <c r="J18" s="75" t="s">
        <v>7</v>
      </c>
      <c r="K18" s="17"/>
    </row>
    <row r="19" spans="1:11" s="29" customFormat="1" ht="54.75" customHeight="1" x14ac:dyDescent="0.25">
      <c r="A19" s="107" t="s">
        <v>188</v>
      </c>
      <c r="B19" s="40">
        <v>140</v>
      </c>
      <c r="C19" s="41"/>
      <c r="D19" s="75"/>
      <c r="E19" s="41" t="s">
        <v>7</v>
      </c>
      <c r="F19" s="41"/>
      <c r="G19" s="41" t="s">
        <v>7</v>
      </c>
      <c r="H19" s="41" t="s">
        <v>7</v>
      </c>
      <c r="I19" s="75"/>
      <c r="J19" s="75" t="s">
        <v>7</v>
      </c>
      <c r="K19" s="17"/>
    </row>
    <row r="20" spans="1:11" s="29" customFormat="1" ht="18.75" customHeight="1" x14ac:dyDescent="0.25">
      <c r="A20" s="103" t="s">
        <v>186</v>
      </c>
      <c r="B20" s="104">
        <v>150</v>
      </c>
      <c r="C20" s="105">
        <v>180</v>
      </c>
      <c r="D20" s="106">
        <f>G20</f>
        <v>0</v>
      </c>
      <c r="E20" s="105" t="s">
        <v>7</v>
      </c>
      <c r="F20" s="105"/>
      <c r="G20" s="106">
        <f>G27</f>
        <v>0</v>
      </c>
      <c r="H20" s="105"/>
      <c r="I20" s="105" t="s">
        <v>7</v>
      </c>
      <c r="J20" s="105" t="s">
        <v>7</v>
      </c>
      <c r="K20" s="17"/>
    </row>
    <row r="21" spans="1:11" s="29" customFormat="1" x14ac:dyDescent="0.25">
      <c r="A21" s="39" t="s">
        <v>86</v>
      </c>
      <c r="B21" s="40">
        <v>160</v>
      </c>
      <c r="C21" s="41">
        <v>180</v>
      </c>
      <c r="D21" s="115">
        <f>I21</f>
        <v>0</v>
      </c>
      <c r="E21" s="86" t="s">
        <v>7</v>
      </c>
      <c r="F21" s="86"/>
      <c r="G21" s="75" t="s">
        <v>7</v>
      </c>
      <c r="H21" s="41" t="s">
        <v>7</v>
      </c>
      <c r="I21" s="115">
        <v>0</v>
      </c>
      <c r="J21" s="41"/>
      <c r="K21" s="17"/>
    </row>
    <row r="22" spans="1:11" s="29" customFormat="1" ht="150" customHeight="1" x14ac:dyDescent="0.25">
      <c r="A22" s="39" t="s">
        <v>216</v>
      </c>
      <c r="B22" s="40"/>
      <c r="C22" s="41"/>
      <c r="D22" s="109"/>
      <c r="E22" s="86"/>
      <c r="F22" s="86"/>
      <c r="G22" s="75"/>
      <c r="H22" s="41"/>
      <c r="I22" s="109"/>
      <c r="J22" s="41"/>
      <c r="K22" s="17"/>
    </row>
    <row r="23" spans="1:11" s="29" customFormat="1" x14ac:dyDescent="0.25">
      <c r="A23" s="39" t="s">
        <v>194</v>
      </c>
      <c r="B23" s="40">
        <v>180</v>
      </c>
      <c r="C23" s="41" t="s">
        <v>7</v>
      </c>
      <c r="D23" s="75"/>
      <c r="E23" s="86"/>
      <c r="F23" s="86"/>
      <c r="G23" s="75"/>
      <c r="H23" s="41"/>
      <c r="I23" s="75"/>
      <c r="J23" s="41"/>
      <c r="K23" s="17"/>
    </row>
    <row r="24" spans="1:11" s="29" customFormat="1" x14ac:dyDescent="0.25">
      <c r="A24" s="39" t="s">
        <v>4</v>
      </c>
      <c r="B24" s="40"/>
      <c r="C24" s="41"/>
      <c r="D24" s="75"/>
      <c r="E24" s="86"/>
      <c r="F24" s="86"/>
      <c r="G24" s="75"/>
      <c r="H24" s="41"/>
      <c r="I24" s="75"/>
      <c r="J24" s="41"/>
      <c r="K24" s="17"/>
    </row>
    <row r="25" spans="1:11" s="29" customFormat="1" x14ac:dyDescent="0.25">
      <c r="A25" s="39"/>
      <c r="B25" s="40">
        <v>1801</v>
      </c>
      <c r="C25" s="41" t="s">
        <v>7</v>
      </c>
      <c r="D25" s="75"/>
      <c r="E25" s="86" t="s">
        <v>7</v>
      </c>
      <c r="F25" s="86"/>
      <c r="G25" s="75" t="s">
        <v>7</v>
      </c>
      <c r="H25" s="41" t="s">
        <v>7</v>
      </c>
      <c r="I25" s="75"/>
      <c r="J25" s="41" t="s">
        <v>7</v>
      </c>
      <c r="K25" s="17"/>
    </row>
    <row r="26" spans="1:11" s="29" customFormat="1" x14ac:dyDescent="0.25">
      <c r="A26" s="39"/>
      <c r="B26" s="40">
        <v>1802</v>
      </c>
      <c r="C26" s="41" t="s">
        <v>7</v>
      </c>
      <c r="D26" s="75"/>
      <c r="E26" s="86" t="s">
        <v>7</v>
      </c>
      <c r="F26" s="86"/>
      <c r="G26" s="75" t="s">
        <v>7</v>
      </c>
      <c r="H26" s="41" t="s">
        <v>7</v>
      </c>
      <c r="I26" s="75"/>
      <c r="J26" s="41" t="s">
        <v>7</v>
      </c>
      <c r="K26" s="17"/>
    </row>
    <row r="27" spans="1:11" x14ac:dyDescent="0.25">
      <c r="A27" s="72" t="s">
        <v>84</v>
      </c>
      <c r="B27" s="73">
        <v>200</v>
      </c>
      <c r="C27" s="73" t="s">
        <v>7</v>
      </c>
      <c r="D27" s="77">
        <f>D29+ D34+D38+D47</f>
        <v>95440500</v>
      </c>
      <c r="E27" s="77">
        <f>E47+E29+E34+E38</f>
        <v>84840500</v>
      </c>
      <c r="F27" s="77"/>
      <c r="G27" s="77"/>
      <c r="H27" s="73"/>
      <c r="I27" s="77">
        <f>I29+I47</f>
        <v>10600000</v>
      </c>
      <c r="J27" s="73"/>
      <c r="K27" s="108"/>
    </row>
    <row r="28" spans="1:11" ht="14.25" customHeight="1" x14ac:dyDescent="0.25">
      <c r="A28" s="25" t="s">
        <v>90</v>
      </c>
      <c r="B28" s="42"/>
      <c r="C28" s="42"/>
      <c r="D28" s="42"/>
      <c r="E28" s="42"/>
      <c r="F28" s="42"/>
      <c r="G28" s="42"/>
      <c r="H28" s="42"/>
      <c r="I28" s="42"/>
      <c r="J28" s="42"/>
    </row>
    <row r="29" spans="1:11" x14ac:dyDescent="0.25">
      <c r="A29" s="26" t="s">
        <v>189</v>
      </c>
      <c r="B29" s="42">
        <v>210</v>
      </c>
      <c r="C29" s="42"/>
      <c r="D29" s="76">
        <f>D31+D32+D33</f>
        <v>74352812.799999997</v>
      </c>
      <c r="E29" s="76">
        <f>E31+E32+E33</f>
        <v>71633246.469999999</v>
      </c>
      <c r="F29" s="76"/>
      <c r="G29" s="76"/>
      <c r="H29" s="42"/>
      <c r="I29" s="76">
        <f>I31+I32+I33</f>
        <v>2719566.33</v>
      </c>
      <c r="J29" s="42"/>
    </row>
    <row r="30" spans="1:11" x14ac:dyDescent="0.25">
      <c r="A30" s="26" t="s">
        <v>8</v>
      </c>
      <c r="B30" s="42"/>
      <c r="C30" s="42"/>
      <c r="D30" s="76"/>
      <c r="E30" s="76"/>
      <c r="F30" s="76"/>
      <c r="G30" s="76"/>
      <c r="H30" s="42"/>
      <c r="I30" s="42"/>
      <c r="J30" s="42"/>
    </row>
    <row r="31" spans="1:11" ht="12.75" customHeight="1" x14ac:dyDescent="0.25">
      <c r="A31" s="26" t="s">
        <v>190</v>
      </c>
      <c r="B31" s="42">
        <v>211</v>
      </c>
      <c r="C31" s="42">
        <v>111</v>
      </c>
      <c r="D31" s="110">
        <f>E31+G31+I31</f>
        <v>57063824.619999997</v>
      </c>
      <c r="E31" s="76">
        <v>54975064</v>
      </c>
      <c r="F31" s="76"/>
      <c r="G31" s="110"/>
      <c r="H31" s="42"/>
      <c r="I31" s="76">
        <f>537634+1551126.62</f>
        <v>2088760.62</v>
      </c>
      <c r="J31" s="42"/>
    </row>
    <row r="32" spans="1:11" x14ac:dyDescent="0.25">
      <c r="A32" s="26" t="s">
        <v>191</v>
      </c>
      <c r="B32" s="42">
        <v>212</v>
      </c>
      <c r="C32" s="42">
        <v>112</v>
      </c>
      <c r="D32" s="76">
        <f>E32+G32</f>
        <v>128980</v>
      </c>
      <c r="E32" s="76">
        <f>127180+1800</f>
        <v>128980</v>
      </c>
      <c r="F32" s="76"/>
      <c r="G32" s="76"/>
      <c r="H32" s="42"/>
      <c r="I32" s="78">
        <v>0</v>
      </c>
      <c r="J32" s="75"/>
    </row>
    <row r="33" spans="1:12" ht="14.25" customHeight="1" x14ac:dyDescent="0.25">
      <c r="A33" s="26" t="s">
        <v>192</v>
      </c>
      <c r="B33" s="42">
        <v>213</v>
      </c>
      <c r="C33" s="42">
        <v>119</v>
      </c>
      <c r="D33" s="110">
        <f>E33+G33+I33</f>
        <v>17160008.18</v>
      </c>
      <c r="E33" s="110">
        <v>16529202.470000001</v>
      </c>
      <c r="F33" s="110"/>
      <c r="G33" s="110"/>
      <c r="H33" s="42"/>
      <c r="I33" s="76">
        <f>162366+468440.24-0.53</f>
        <v>630805.71</v>
      </c>
      <c r="J33" s="42"/>
      <c r="K33" s="125"/>
    </row>
    <row r="34" spans="1:12" ht="14.25" customHeight="1" x14ac:dyDescent="0.25">
      <c r="A34" s="68" t="s">
        <v>195</v>
      </c>
      <c r="B34" s="69">
        <v>220</v>
      </c>
      <c r="C34" s="69"/>
      <c r="D34" s="95">
        <f>G34+E34</f>
        <v>0</v>
      </c>
      <c r="E34" s="95">
        <f>E36</f>
        <v>0</v>
      </c>
      <c r="F34" s="95"/>
      <c r="G34" s="95"/>
      <c r="H34" s="69"/>
      <c r="I34" s="96"/>
      <c r="J34" s="69"/>
      <c r="K34" s="108"/>
    </row>
    <row r="35" spans="1:12" ht="14.25" customHeight="1" x14ac:dyDescent="0.25">
      <c r="A35" s="25" t="s">
        <v>8</v>
      </c>
      <c r="B35" s="42"/>
      <c r="C35" s="42"/>
      <c r="D35" s="76"/>
      <c r="E35" s="76"/>
      <c r="F35" s="76"/>
      <c r="G35" s="76"/>
      <c r="H35" s="42"/>
      <c r="I35" s="78"/>
      <c r="J35" s="42"/>
    </row>
    <row r="36" spans="1:12" ht="30" customHeight="1" x14ac:dyDescent="0.25">
      <c r="A36" s="25" t="s">
        <v>210</v>
      </c>
      <c r="B36" s="42">
        <v>2201</v>
      </c>
      <c r="C36" s="42"/>
      <c r="D36" s="76"/>
      <c r="E36" s="76"/>
      <c r="F36" s="76"/>
      <c r="G36" s="76"/>
      <c r="H36" s="42"/>
      <c r="I36" s="78"/>
      <c r="J36" s="42"/>
    </row>
    <row r="37" spans="1:12" ht="40.5" customHeight="1" x14ac:dyDescent="0.25">
      <c r="A37" s="26" t="s">
        <v>215</v>
      </c>
      <c r="B37" s="42">
        <v>2202</v>
      </c>
      <c r="C37" s="42"/>
      <c r="D37" s="110"/>
      <c r="E37" s="110"/>
      <c r="F37" s="110"/>
      <c r="G37" s="110"/>
      <c r="H37" s="42"/>
      <c r="I37" s="78"/>
      <c r="J37" s="42"/>
      <c r="K37" s="108"/>
    </row>
    <row r="38" spans="1:12" ht="14.25" customHeight="1" x14ac:dyDescent="0.25">
      <c r="A38" s="68" t="s">
        <v>196</v>
      </c>
      <c r="B38" s="69">
        <v>230</v>
      </c>
      <c r="C38" s="69">
        <v>850</v>
      </c>
      <c r="D38" s="95">
        <f>E38</f>
        <v>466479.53</v>
      </c>
      <c r="E38" s="95">
        <f>E40+E41</f>
        <v>466479.53</v>
      </c>
      <c r="F38" s="95"/>
      <c r="G38" s="95"/>
      <c r="H38" s="69"/>
      <c r="I38" s="96"/>
      <c r="J38" s="69"/>
      <c r="K38" s="108"/>
    </row>
    <row r="39" spans="1:12" ht="14.25" customHeight="1" x14ac:dyDescent="0.25">
      <c r="A39" s="25" t="s">
        <v>8</v>
      </c>
      <c r="B39" s="42"/>
      <c r="C39" s="42"/>
      <c r="D39" s="76"/>
      <c r="E39" s="76"/>
      <c r="F39" s="76"/>
      <c r="G39" s="76"/>
      <c r="H39" s="42"/>
      <c r="I39" s="78"/>
      <c r="J39" s="42"/>
      <c r="K39" s="108"/>
    </row>
    <row r="40" spans="1:12" ht="14.25" customHeight="1" x14ac:dyDescent="0.25">
      <c r="A40" s="25" t="s">
        <v>197</v>
      </c>
      <c r="B40" s="42">
        <v>2301</v>
      </c>
      <c r="C40" s="42">
        <v>851</v>
      </c>
      <c r="D40" s="76">
        <f>E40</f>
        <v>451300</v>
      </c>
      <c r="E40" s="76">
        <v>451300</v>
      </c>
      <c r="F40" s="76"/>
      <c r="G40" s="76"/>
      <c r="H40" s="42"/>
      <c r="I40" s="78"/>
      <c r="J40" s="42"/>
    </row>
    <row r="41" spans="1:12" ht="29.25" customHeight="1" x14ac:dyDescent="0.25">
      <c r="A41" s="26" t="s">
        <v>254</v>
      </c>
      <c r="B41" s="42">
        <v>2302</v>
      </c>
      <c r="C41" s="42">
        <v>852</v>
      </c>
      <c r="D41" s="76">
        <f>E41</f>
        <v>15179.529999999999</v>
      </c>
      <c r="E41" s="76">
        <f>7979.53+7200</f>
        <v>15179.529999999999</v>
      </c>
      <c r="F41" s="76"/>
      <c r="G41" s="76"/>
      <c r="H41" s="42"/>
      <c r="I41" s="78"/>
      <c r="J41" s="42"/>
      <c r="L41" s="108"/>
    </row>
    <row r="42" spans="1:12" ht="22.5" customHeight="1" x14ac:dyDescent="0.25">
      <c r="A42" s="26" t="s">
        <v>217</v>
      </c>
      <c r="B42" s="42">
        <v>2303</v>
      </c>
      <c r="C42" s="42"/>
      <c r="D42" s="76"/>
      <c r="E42" s="76"/>
      <c r="F42" s="76"/>
      <c r="G42" s="76"/>
      <c r="H42" s="42"/>
      <c r="I42" s="78"/>
      <c r="J42" s="42"/>
      <c r="L42" s="108"/>
    </row>
    <row r="43" spans="1:12" ht="19.5" customHeight="1" x14ac:dyDescent="0.25">
      <c r="A43" s="68" t="s">
        <v>198</v>
      </c>
      <c r="B43" s="69">
        <v>240</v>
      </c>
      <c r="C43" s="69"/>
      <c r="D43" s="95"/>
      <c r="E43" s="95"/>
      <c r="F43" s="95"/>
      <c r="G43" s="95"/>
      <c r="H43" s="69"/>
      <c r="I43" s="96"/>
      <c r="J43" s="69"/>
    </row>
    <row r="44" spans="1:12" ht="24" customHeight="1" x14ac:dyDescent="0.25">
      <c r="A44" s="68" t="s">
        <v>199</v>
      </c>
      <c r="B44" s="69">
        <v>250</v>
      </c>
      <c r="C44" s="69"/>
      <c r="D44" s="95"/>
      <c r="E44" s="95"/>
      <c r="F44" s="95"/>
      <c r="G44" s="95"/>
      <c r="H44" s="69"/>
      <c r="I44" s="96"/>
      <c r="J44" s="69"/>
    </row>
    <row r="45" spans="1:12" ht="14.25" customHeight="1" x14ac:dyDescent="0.25">
      <c r="A45" s="26"/>
      <c r="B45" s="42">
        <v>2501</v>
      </c>
      <c r="C45" s="42"/>
      <c r="D45" s="76"/>
      <c r="E45" s="76"/>
      <c r="F45" s="76"/>
      <c r="G45" s="76"/>
      <c r="H45" s="42"/>
      <c r="I45" s="78"/>
      <c r="J45" s="42"/>
    </row>
    <row r="46" spans="1:12" ht="14.25" customHeight="1" x14ac:dyDescent="0.25">
      <c r="A46" s="26"/>
      <c r="B46" s="42">
        <v>2502</v>
      </c>
      <c r="C46" s="42"/>
      <c r="D46" s="76"/>
      <c r="E46" s="76"/>
      <c r="F46" s="76"/>
      <c r="G46" s="76"/>
      <c r="H46" s="42"/>
      <c r="I46" s="78"/>
      <c r="J46" s="42"/>
    </row>
    <row r="47" spans="1:12" x14ac:dyDescent="0.25">
      <c r="A47" s="68" t="s">
        <v>91</v>
      </c>
      <c r="B47" s="69">
        <v>260</v>
      </c>
      <c r="C47" s="69"/>
      <c r="D47" s="87">
        <f>D49+D51+D53+D57+D61+D60</f>
        <v>20621207.670000002</v>
      </c>
      <c r="E47" s="87">
        <f>E49+E51+E53+E57+E61+E60</f>
        <v>12740774</v>
      </c>
      <c r="F47" s="87"/>
      <c r="G47" s="87"/>
      <c r="H47" s="87"/>
      <c r="I47" s="87">
        <f>I49+I51+I53+I57+I61</f>
        <v>7880433.6699999999</v>
      </c>
      <c r="J47" s="69"/>
    </row>
    <row r="48" spans="1:12" x14ac:dyDescent="0.25">
      <c r="A48" s="26" t="s">
        <v>8</v>
      </c>
      <c r="B48" s="42"/>
      <c r="C48" s="42"/>
      <c r="D48" s="42"/>
      <c r="E48" s="76"/>
      <c r="F48" s="76"/>
      <c r="G48" s="76"/>
      <c r="H48" s="42"/>
      <c r="I48" s="42"/>
      <c r="J48" s="42"/>
    </row>
    <row r="49" spans="1:12" x14ac:dyDescent="0.25">
      <c r="A49" s="26" t="s">
        <v>157</v>
      </c>
      <c r="B49" s="42">
        <v>2601</v>
      </c>
      <c r="C49" s="42">
        <v>244</v>
      </c>
      <c r="D49" s="76">
        <f>E49+G49+I49</f>
        <v>249000</v>
      </c>
      <c r="E49" s="76">
        <f>150000+99000</f>
        <v>249000</v>
      </c>
      <c r="F49" s="76"/>
      <c r="G49" s="76"/>
      <c r="H49" s="42"/>
      <c r="I49" s="76"/>
      <c r="J49" s="42"/>
    </row>
    <row r="50" spans="1:12" x14ac:dyDescent="0.25">
      <c r="A50" s="26" t="s">
        <v>158</v>
      </c>
      <c r="B50" s="42">
        <v>2602</v>
      </c>
      <c r="C50" s="42">
        <v>244</v>
      </c>
      <c r="D50" s="76">
        <f>E50+G50+I50</f>
        <v>0</v>
      </c>
      <c r="E50" s="76">
        <v>0</v>
      </c>
      <c r="F50" s="76"/>
      <c r="G50" s="76"/>
      <c r="H50" s="42"/>
      <c r="I50" s="76"/>
      <c r="J50" s="42"/>
    </row>
    <row r="51" spans="1:12" x14ac:dyDescent="0.25">
      <c r="A51" s="26" t="s">
        <v>159</v>
      </c>
      <c r="B51" s="42">
        <v>2603</v>
      </c>
      <c r="C51" s="42">
        <v>244</v>
      </c>
      <c r="D51" s="76">
        <f>E51+G51+I51</f>
        <v>5517650.5099999998</v>
      </c>
      <c r="E51" s="76">
        <v>4078050.51</v>
      </c>
      <c r="F51" s="76"/>
      <c r="G51" s="76"/>
      <c r="H51" s="42"/>
      <c r="I51" s="76">
        <f>0+1439600</f>
        <v>1439600</v>
      </c>
      <c r="J51" s="42"/>
    </row>
    <row r="52" spans="1:12" x14ac:dyDescent="0.25">
      <c r="A52" s="26" t="s">
        <v>160</v>
      </c>
      <c r="B52" s="42">
        <v>2604</v>
      </c>
      <c r="C52" s="42"/>
      <c r="D52" s="42"/>
      <c r="E52" s="78"/>
      <c r="F52" s="78"/>
      <c r="G52" s="76"/>
      <c r="H52" s="42"/>
      <c r="I52" s="42"/>
      <c r="J52" s="42"/>
    </row>
    <row r="53" spans="1:12" x14ac:dyDescent="0.25">
      <c r="A53" s="26" t="s">
        <v>250</v>
      </c>
      <c r="B53" s="42">
        <v>2605</v>
      </c>
      <c r="C53" s="42">
        <v>244</v>
      </c>
      <c r="D53" s="76">
        <f>E53+G53+I53</f>
        <v>2378837.7299999995</v>
      </c>
      <c r="E53" s="76">
        <v>1199588.6599999999</v>
      </c>
      <c r="F53" s="76"/>
      <c r="G53" s="76"/>
      <c r="H53" s="42"/>
      <c r="I53" s="76">
        <f>400000+779249.07</f>
        <v>1179249.0699999998</v>
      </c>
      <c r="J53" s="42"/>
    </row>
    <row r="54" spans="1:12" x14ac:dyDescent="0.25">
      <c r="A54" s="26" t="s">
        <v>4</v>
      </c>
      <c r="B54" s="42"/>
      <c r="C54" s="42"/>
      <c r="D54" s="42"/>
      <c r="E54" s="78"/>
      <c r="F54" s="78"/>
      <c r="G54" s="76"/>
      <c r="H54" s="42"/>
      <c r="I54" s="42"/>
      <c r="J54" s="42"/>
    </row>
    <row r="55" spans="1:12" x14ac:dyDescent="0.25">
      <c r="A55" s="26" t="s">
        <v>200</v>
      </c>
      <c r="B55" s="42"/>
      <c r="C55" s="42">
        <v>244</v>
      </c>
      <c r="D55" s="76">
        <f>E55+G55</f>
        <v>45200</v>
      </c>
      <c r="E55" s="76">
        <f>35200+10000</f>
        <v>45200</v>
      </c>
      <c r="F55" s="76"/>
      <c r="G55" s="76"/>
      <c r="H55" s="42"/>
      <c r="I55" s="42"/>
      <c r="J55" s="42"/>
    </row>
    <row r="56" spans="1:12" x14ac:dyDescent="0.25">
      <c r="A56" s="26" t="s">
        <v>201</v>
      </c>
      <c r="B56" s="42"/>
      <c r="C56" s="42">
        <v>244</v>
      </c>
      <c r="D56" s="76">
        <f>E56+I56</f>
        <v>400000</v>
      </c>
      <c r="E56" s="76">
        <v>0</v>
      </c>
      <c r="F56" s="76"/>
      <c r="G56" s="76"/>
      <c r="H56" s="42"/>
      <c r="I56" s="76">
        <v>400000</v>
      </c>
      <c r="J56" s="42"/>
    </row>
    <row r="57" spans="1:12" ht="14.25" customHeight="1" x14ac:dyDescent="0.25">
      <c r="A57" s="26" t="s">
        <v>251</v>
      </c>
      <c r="B57" s="42">
        <v>2606</v>
      </c>
      <c r="C57" s="42">
        <v>244</v>
      </c>
      <c r="D57" s="76">
        <f>E57+G57</f>
        <v>3751716.83</v>
      </c>
      <c r="E57" s="76">
        <v>3751716.83</v>
      </c>
      <c r="F57" s="76"/>
      <c r="G57" s="76"/>
      <c r="H57" s="42"/>
      <c r="I57" s="76"/>
      <c r="J57" s="42"/>
    </row>
    <row r="58" spans="1:12" x14ac:dyDescent="0.25">
      <c r="A58" s="26" t="s">
        <v>156</v>
      </c>
      <c r="B58" s="42"/>
      <c r="C58" s="42"/>
      <c r="D58" s="76"/>
      <c r="E58" s="78"/>
      <c r="F58" s="78"/>
      <c r="G58" s="76"/>
      <c r="H58" s="42"/>
      <c r="I58" s="42"/>
      <c r="J58" s="42"/>
      <c r="L58" s="108"/>
    </row>
    <row r="59" spans="1:12" x14ac:dyDescent="0.25">
      <c r="A59" s="26" t="s">
        <v>161</v>
      </c>
      <c r="B59" s="42"/>
      <c r="C59" s="42"/>
      <c r="D59" s="76"/>
      <c r="E59" s="78"/>
      <c r="F59" s="78"/>
      <c r="G59" s="76"/>
      <c r="H59" s="42"/>
      <c r="I59" s="42"/>
      <c r="J59" s="42"/>
    </row>
    <row r="60" spans="1:12" x14ac:dyDescent="0.25">
      <c r="A60" s="26" t="s">
        <v>152</v>
      </c>
      <c r="B60" s="42">
        <v>2607</v>
      </c>
      <c r="C60" s="42">
        <v>244</v>
      </c>
      <c r="D60" s="76">
        <f>E60+G60</f>
        <v>0</v>
      </c>
      <c r="E60" s="76">
        <v>0</v>
      </c>
      <c r="F60" s="78"/>
      <c r="G60" s="76"/>
      <c r="H60" s="42"/>
      <c r="I60" s="42"/>
      <c r="J60" s="42"/>
    </row>
    <row r="61" spans="1:12" ht="25.5" x14ac:dyDescent="0.25">
      <c r="A61" s="26" t="s">
        <v>252</v>
      </c>
      <c r="B61" s="42">
        <v>2608</v>
      </c>
      <c r="C61" s="42">
        <v>244</v>
      </c>
      <c r="D61" s="76">
        <f>E61+I61+G61</f>
        <v>8724002.5999999996</v>
      </c>
      <c r="E61" s="76">
        <v>3462418</v>
      </c>
      <c r="F61" s="76"/>
      <c r="G61" s="76"/>
      <c r="H61" s="42"/>
      <c r="I61" s="76">
        <f>5261584.08+0.52</f>
        <v>5261584.5999999996</v>
      </c>
      <c r="J61" s="42"/>
    </row>
    <row r="62" spans="1:12" x14ac:dyDescent="0.25">
      <c r="A62" s="74" t="s">
        <v>4</v>
      </c>
      <c r="B62" s="42"/>
      <c r="C62" s="42"/>
      <c r="D62" s="76"/>
      <c r="E62" s="78"/>
      <c r="F62" s="78"/>
      <c r="G62" s="76"/>
      <c r="H62" s="42"/>
      <c r="I62" s="42"/>
      <c r="J62" s="42"/>
      <c r="K62" s="108"/>
    </row>
    <row r="63" spans="1:12" x14ac:dyDescent="0.25">
      <c r="A63" s="74" t="s">
        <v>253</v>
      </c>
      <c r="B63" s="42"/>
      <c r="C63" s="42">
        <v>244</v>
      </c>
      <c r="D63" s="76">
        <f>E63+I63+G63</f>
        <v>35000</v>
      </c>
      <c r="E63" s="78"/>
      <c r="F63" s="78"/>
      <c r="G63" s="76"/>
      <c r="H63" s="42"/>
      <c r="I63" s="76">
        <f>0+35000</f>
        <v>35000</v>
      </c>
      <c r="J63" s="42"/>
      <c r="K63" s="108"/>
    </row>
    <row r="64" spans="1:12" x14ac:dyDescent="0.25">
      <c r="A64" s="74" t="s">
        <v>162</v>
      </c>
      <c r="B64" s="42"/>
      <c r="C64" s="42">
        <v>244</v>
      </c>
      <c r="D64" s="76">
        <f>E64+I64</f>
        <v>455396</v>
      </c>
      <c r="E64" s="76">
        <v>455396</v>
      </c>
      <c r="F64" s="76"/>
      <c r="G64" s="76"/>
      <c r="H64" s="42"/>
      <c r="I64" s="76"/>
      <c r="J64" s="42"/>
    </row>
    <row r="65" spans="1:10" x14ac:dyDescent="0.25">
      <c r="A65" s="74" t="s">
        <v>163</v>
      </c>
      <c r="B65" s="42"/>
      <c r="C65" s="42">
        <v>244</v>
      </c>
      <c r="D65" s="76">
        <f>E65+G65+I65</f>
        <v>6336638.8300000001</v>
      </c>
      <c r="E65" s="76">
        <v>1700000</v>
      </c>
      <c r="F65" s="76"/>
      <c r="G65" s="76"/>
      <c r="H65" s="42"/>
      <c r="I65" s="76">
        <v>4636638.83</v>
      </c>
      <c r="J65" s="42"/>
    </row>
    <row r="66" spans="1:10" x14ac:dyDescent="0.25">
      <c r="A66" s="74" t="s">
        <v>164</v>
      </c>
      <c r="B66" s="42"/>
      <c r="C66" s="42">
        <v>244</v>
      </c>
      <c r="D66" s="76">
        <f>E66+G66+I66</f>
        <v>466950</v>
      </c>
      <c r="E66" s="76">
        <v>100000</v>
      </c>
      <c r="F66" s="78"/>
      <c r="G66" s="76"/>
      <c r="H66" s="42"/>
      <c r="I66" s="76">
        <v>366950</v>
      </c>
      <c r="J66" s="42"/>
    </row>
    <row r="67" spans="1:10" x14ac:dyDescent="0.25">
      <c r="A67" s="74" t="s">
        <v>245</v>
      </c>
      <c r="B67" s="42">
        <v>270</v>
      </c>
      <c r="C67" s="42"/>
      <c r="D67" s="78"/>
      <c r="E67" s="78"/>
      <c r="F67" s="78"/>
      <c r="G67" s="76"/>
      <c r="H67" s="42"/>
      <c r="I67" s="76"/>
      <c r="J67" s="42"/>
    </row>
    <row r="68" spans="1:10" x14ac:dyDescent="0.25">
      <c r="A68" s="70" t="s">
        <v>202</v>
      </c>
      <c r="B68" s="71">
        <v>300</v>
      </c>
      <c r="C68" s="71" t="s">
        <v>7</v>
      </c>
      <c r="D68" s="97"/>
      <c r="E68" s="97"/>
      <c r="F68" s="97"/>
      <c r="G68" s="98"/>
      <c r="H68" s="99"/>
      <c r="I68" s="99"/>
      <c r="J68" s="99"/>
    </row>
    <row r="69" spans="1:10" x14ac:dyDescent="0.25">
      <c r="A69" s="25" t="s">
        <v>8</v>
      </c>
      <c r="B69" s="42"/>
      <c r="C69" s="42"/>
      <c r="D69" s="78"/>
      <c r="E69" s="78"/>
      <c r="F69" s="78"/>
      <c r="G69" s="76"/>
      <c r="H69" s="42"/>
      <c r="I69" s="42"/>
      <c r="J69" s="42"/>
    </row>
    <row r="70" spans="1:10" x14ac:dyDescent="0.25">
      <c r="A70" s="26" t="s">
        <v>203</v>
      </c>
      <c r="B70" s="42">
        <v>310</v>
      </c>
      <c r="C70" s="42"/>
      <c r="D70" s="78"/>
      <c r="E70" s="78"/>
      <c r="F70" s="78"/>
      <c r="G70" s="76"/>
      <c r="H70" s="42"/>
      <c r="I70" s="42"/>
      <c r="J70" s="42"/>
    </row>
    <row r="71" spans="1:10" x14ac:dyDescent="0.25">
      <c r="A71" s="26" t="s">
        <v>204</v>
      </c>
      <c r="B71" s="42">
        <v>320</v>
      </c>
      <c r="C71" s="42"/>
      <c r="D71" s="78"/>
      <c r="E71" s="78"/>
      <c r="F71" s="78"/>
      <c r="G71" s="76"/>
      <c r="H71" s="42"/>
      <c r="I71" s="42"/>
      <c r="J71" s="42"/>
    </row>
    <row r="72" spans="1:10" x14ac:dyDescent="0.25">
      <c r="A72" s="72" t="s">
        <v>205</v>
      </c>
      <c r="B72" s="73">
        <v>400</v>
      </c>
      <c r="C72" s="73"/>
      <c r="D72" s="100"/>
      <c r="E72" s="100"/>
      <c r="F72" s="100"/>
      <c r="G72" s="101"/>
      <c r="H72" s="102"/>
      <c r="I72" s="102"/>
      <c r="J72" s="102"/>
    </row>
    <row r="73" spans="1:10" x14ac:dyDescent="0.25">
      <c r="A73" s="25" t="s">
        <v>8</v>
      </c>
      <c r="B73" s="42"/>
      <c r="C73" s="42"/>
      <c r="D73" s="78"/>
      <c r="E73" s="78"/>
      <c r="F73" s="78"/>
      <c r="G73" s="76"/>
      <c r="H73" s="42"/>
      <c r="I73" s="42"/>
      <c r="J73" s="42"/>
    </row>
    <row r="74" spans="1:10" x14ac:dyDescent="0.25">
      <c r="A74" s="26" t="s">
        <v>206</v>
      </c>
      <c r="B74" s="42">
        <v>410</v>
      </c>
      <c r="C74" s="42"/>
      <c r="D74" s="78"/>
      <c r="E74" s="78"/>
      <c r="F74" s="78"/>
      <c r="G74" s="76"/>
      <c r="H74" s="42"/>
      <c r="I74" s="42"/>
      <c r="J74" s="42"/>
    </row>
    <row r="75" spans="1:10" x14ac:dyDescent="0.25">
      <c r="A75" s="26" t="s">
        <v>207</v>
      </c>
      <c r="B75" s="42">
        <v>420</v>
      </c>
      <c r="C75" s="42"/>
      <c r="D75" s="78"/>
      <c r="E75" s="78"/>
      <c r="F75" s="78"/>
      <c r="G75" s="76"/>
      <c r="H75" s="42"/>
      <c r="I75" s="42"/>
      <c r="J75" s="42"/>
    </row>
    <row r="76" spans="1:10" x14ac:dyDescent="0.25">
      <c r="A76" s="47" t="s">
        <v>9</v>
      </c>
      <c r="B76" s="45">
        <v>500</v>
      </c>
      <c r="C76" s="45" t="s">
        <v>7</v>
      </c>
      <c r="D76" s="45"/>
      <c r="E76" s="45"/>
      <c r="F76" s="45"/>
      <c r="G76" s="45"/>
      <c r="H76" s="45"/>
      <c r="I76" s="45"/>
      <c r="J76" s="45"/>
    </row>
    <row r="77" spans="1:10" x14ac:dyDescent="0.25">
      <c r="A77" s="47" t="s">
        <v>10</v>
      </c>
      <c r="B77" s="45">
        <v>600</v>
      </c>
      <c r="C77" s="45" t="s">
        <v>7</v>
      </c>
      <c r="D77" s="45"/>
      <c r="E77" s="45"/>
      <c r="F77" s="45"/>
      <c r="G77" s="45"/>
      <c r="H77" s="45"/>
      <c r="I77" s="45"/>
      <c r="J77" s="45"/>
    </row>
    <row r="78" spans="1:10" x14ac:dyDescent="0.25">
      <c r="A78" s="48"/>
      <c r="B78" s="49"/>
      <c r="C78" s="49"/>
      <c r="D78" s="49"/>
      <c r="E78" s="49"/>
      <c r="F78" s="49"/>
      <c r="G78" s="49"/>
      <c r="H78" s="49"/>
      <c r="I78" s="49"/>
      <c r="J78" s="49"/>
    </row>
    <row r="79" spans="1:10" ht="33" customHeight="1" x14ac:dyDescent="0.25">
      <c r="A79" s="262"/>
      <c r="B79" s="262"/>
      <c r="C79" s="262"/>
      <c r="D79" s="262"/>
      <c r="E79" s="262"/>
      <c r="F79" s="262"/>
      <c r="G79" s="262"/>
      <c r="H79" s="262"/>
      <c r="I79" s="262"/>
      <c r="J79" s="262"/>
    </row>
    <row r="80" spans="1:10" x14ac:dyDescent="0.25">
      <c r="A80" s="2"/>
      <c r="B80" s="18"/>
      <c r="C80" s="18"/>
      <c r="D80" s="18"/>
      <c r="E80" s="18"/>
      <c r="F80" s="18"/>
      <c r="G80" s="18"/>
      <c r="H80" s="18"/>
      <c r="I80" s="18"/>
      <c r="J80" s="18"/>
    </row>
    <row r="81" spans="1:10" x14ac:dyDescent="0.25">
      <c r="A81" s="2"/>
      <c r="B81" s="18"/>
      <c r="C81" s="18"/>
      <c r="D81" s="18"/>
      <c r="E81" s="18"/>
      <c r="F81" s="18"/>
      <c r="G81" s="18"/>
      <c r="H81" s="18"/>
      <c r="I81" s="18"/>
      <c r="J81" s="18"/>
    </row>
    <row r="82" spans="1:10" x14ac:dyDescent="0.25">
      <c r="A82" s="2"/>
      <c r="B82" s="18"/>
      <c r="C82" s="18"/>
      <c r="D82" s="18"/>
      <c r="E82" s="18"/>
      <c r="F82" s="18"/>
      <c r="G82" s="18"/>
      <c r="H82" s="18"/>
      <c r="I82" s="18"/>
      <c r="J82" s="18"/>
    </row>
    <row r="83" spans="1:10" x14ac:dyDescent="0.25">
      <c r="A83" s="2"/>
      <c r="B83" s="18"/>
      <c r="C83" s="18"/>
      <c r="D83" s="18"/>
      <c r="E83" s="18"/>
      <c r="F83" s="18"/>
      <c r="G83" s="18"/>
      <c r="H83" s="18"/>
      <c r="I83" s="18"/>
      <c r="J83" s="18"/>
    </row>
    <row r="84" spans="1:10" x14ac:dyDescent="0.25">
      <c r="A84" s="2"/>
      <c r="B84" s="18"/>
      <c r="C84" s="18"/>
      <c r="D84" s="18"/>
      <c r="E84" s="18"/>
      <c r="F84" s="18"/>
      <c r="G84" s="18"/>
      <c r="H84" s="18"/>
      <c r="I84" s="18"/>
      <c r="J84" s="18"/>
    </row>
    <row r="85" spans="1:10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</row>
    <row r="86" spans="1:10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</row>
    <row r="87" spans="1:10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</row>
    <row r="88" spans="1:10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</row>
    <row r="89" spans="1:10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</row>
    <row r="90" spans="1:10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</row>
    <row r="91" spans="1:10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</row>
    <row r="92" spans="1:10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</row>
    <row r="93" spans="1:10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</row>
    <row r="94" spans="1:10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</row>
    <row r="95" spans="1:10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</row>
    <row r="96" spans="1:10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</row>
    <row r="97" spans="1:10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</row>
    <row r="98" spans="1:10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</row>
    <row r="99" spans="1:10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</row>
    <row r="100" spans="1:10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</row>
    <row r="101" spans="1:10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</row>
    <row r="102" spans="1:10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</row>
    <row r="103" spans="1:10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</row>
    <row r="104" spans="1:10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</row>
    <row r="105" spans="1:10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</row>
    <row r="106" spans="1:10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</row>
    <row r="107" spans="1:10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</row>
    <row r="108" spans="1:10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</row>
  </sheetData>
  <mergeCells count="14">
    <mergeCell ref="G6:G7"/>
    <mergeCell ref="H6:H7"/>
    <mergeCell ref="I6:J6"/>
    <mergeCell ref="A79:J79"/>
    <mergeCell ref="A1:J1"/>
    <mergeCell ref="A2:J2"/>
    <mergeCell ref="A4:A7"/>
    <mergeCell ref="B4:B7"/>
    <mergeCell ref="C4:C7"/>
    <mergeCell ref="D4:J4"/>
    <mergeCell ref="D5:D7"/>
    <mergeCell ref="E5:J5"/>
    <mergeCell ref="E6:E7"/>
    <mergeCell ref="F6:F7"/>
  </mergeCells>
  <pageMargins left="0.23622047244094491" right="0.19685039370078741" top="0.27559055118110237" bottom="0.23622047244094491" header="0.15748031496062992" footer="0.15748031496062992"/>
  <pageSetup paperSize="9" scale="75" fitToHeight="2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08"/>
  <sheetViews>
    <sheetView view="pageBreakPreview" zoomScale="90" zoomScaleNormal="100" zoomScaleSheetLayoutView="90" workbookViewId="0">
      <selection activeCell="E54" sqref="E54"/>
    </sheetView>
  </sheetViews>
  <sheetFormatPr defaultColWidth="9.140625" defaultRowHeight="12.75" x14ac:dyDescent="0.25"/>
  <cols>
    <col min="1" max="1" width="42.140625" style="17" customWidth="1"/>
    <col min="2" max="2" width="7" style="17" customWidth="1"/>
    <col min="3" max="3" width="11.5703125" style="17" customWidth="1"/>
    <col min="4" max="4" width="16.42578125" style="17" customWidth="1"/>
    <col min="5" max="5" width="21.140625" style="17" customWidth="1"/>
    <col min="6" max="6" width="21.28515625" style="17" customWidth="1"/>
    <col min="7" max="7" width="20.140625" style="17" customWidth="1"/>
    <col min="8" max="8" width="14.7109375" style="17" customWidth="1"/>
    <col min="9" max="10" width="13.42578125" style="17" customWidth="1"/>
    <col min="11" max="11" width="21.85546875" style="17" customWidth="1"/>
    <col min="12" max="12" width="12.28515625" style="17" bestFit="1" customWidth="1"/>
    <col min="13" max="16384" width="9.140625" style="17"/>
  </cols>
  <sheetData>
    <row r="1" spans="1:12" ht="20.25" customHeight="1" x14ac:dyDescent="0.25">
      <c r="A1" s="263" t="s">
        <v>141</v>
      </c>
      <c r="B1" s="263"/>
      <c r="C1" s="263"/>
      <c r="D1" s="263"/>
      <c r="E1" s="263"/>
      <c r="F1" s="263"/>
      <c r="G1" s="263"/>
      <c r="H1" s="263"/>
      <c r="I1" s="263"/>
      <c r="J1" s="263"/>
    </row>
    <row r="2" spans="1:12" ht="25.5" customHeight="1" x14ac:dyDescent="0.25">
      <c r="A2" s="263" t="s">
        <v>270</v>
      </c>
      <c r="B2" s="263"/>
      <c r="C2" s="263"/>
      <c r="D2" s="263"/>
      <c r="E2" s="263"/>
      <c r="F2" s="263"/>
      <c r="G2" s="263"/>
      <c r="H2" s="263"/>
      <c r="I2" s="263"/>
      <c r="J2" s="263"/>
    </row>
    <row r="3" spans="1:12" ht="19.5" customHeight="1" x14ac:dyDescent="0.25">
      <c r="A3" s="137"/>
      <c r="B3" s="137"/>
      <c r="C3" s="137"/>
      <c r="D3" s="137"/>
      <c r="E3" s="137"/>
      <c r="F3" s="137"/>
      <c r="G3" s="137"/>
      <c r="H3" s="137"/>
      <c r="I3" s="137"/>
      <c r="J3" s="137"/>
    </row>
    <row r="4" spans="1:12" ht="21.75" customHeight="1" x14ac:dyDescent="0.25">
      <c r="A4" s="259" t="s">
        <v>0</v>
      </c>
      <c r="B4" s="259" t="s">
        <v>1</v>
      </c>
      <c r="C4" s="259" t="s">
        <v>92</v>
      </c>
      <c r="D4" s="259" t="s">
        <v>2</v>
      </c>
      <c r="E4" s="259"/>
      <c r="F4" s="259"/>
      <c r="G4" s="259"/>
      <c r="H4" s="259"/>
      <c r="I4" s="259"/>
      <c r="J4" s="259"/>
    </row>
    <row r="5" spans="1:12" x14ac:dyDescent="0.25">
      <c r="A5" s="259"/>
      <c r="B5" s="259"/>
      <c r="C5" s="259"/>
      <c r="D5" s="264" t="s">
        <v>28</v>
      </c>
      <c r="E5" s="265" t="s">
        <v>4</v>
      </c>
      <c r="F5" s="265"/>
      <c r="G5" s="265"/>
      <c r="H5" s="265"/>
      <c r="I5" s="265"/>
      <c r="J5" s="265"/>
    </row>
    <row r="6" spans="1:12" ht="63.75" customHeight="1" x14ac:dyDescent="0.25">
      <c r="A6" s="259"/>
      <c r="B6" s="259"/>
      <c r="C6" s="259"/>
      <c r="D6" s="264"/>
      <c r="E6" s="266" t="s">
        <v>242</v>
      </c>
      <c r="F6" s="266" t="s">
        <v>243</v>
      </c>
      <c r="G6" s="259" t="s">
        <v>87</v>
      </c>
      <c r="H6" s="259" t="s">
        <v>88</v>
      </c>
      <c r="I6" s="260" t="s">
        <v>89</v>
      </c>
      <c r="J6" s="261"/>
    </row>
    <row r="7" spans="1:12" ht="70.5" customHeight="1" x14ac:dyDescent="0.25">
      <c r="A7" s="259"/>
      <c r="B7" s="259"/>
      <c r="C7" s="259"/>
      <c r="D7" s="264"/>
      <c r="E7" s="267"/>
      <c r="F7" s="267"/>
      <c r="G7" s="259"/>
      <c r="H7" s="259"/>
      <c r="I7" s="136" t="s">
        <v>3</v>
      </c>
      <c r="J7" s="135" t="s">
        <v>5</v>
      </c>
    </row>
    <row r="8" spans="1:12" x14ac:dyDescent="0.25">
      <c r="A8" s="42">
        <v>1</v>
      </c>
      <c r="B8" s="42">
        <v>2</v>
      </c>
      <c r="C8" s="42">
        <v>3</v>
      </c>
      <c r="D8" s="42">
        <v>4</v>
      </c>
      <c r="E8" s="42">
        <v>5</v>
      </c>
      <c r="F8" s="50" t="s">
        <v>244</v>
      </c>
      <c r="G8" s="42">
        <v>6</v>
      </c>
      <c r="H8" s="42">
        <v>7</v>
      </c>
      <c r="I8" s="42">
        <v>8</v>
      </c>
      <c r="J8" s="42">
        <v>9</v>
      </c>
    </row>
    <row r="9" spans="1:12" ht="25.5" customHeight="1" x14ac:dyDescent="0.25">
      <c r="A9" s="70" t="s">
        <v>6</v>
      </c>
      <c r="B9" s="71">
        <v>100</v>
      </c>
      <c r="C9" s="71" t="s">
        <v>7</v>
      </c>
      <c r="D9" s="85">
        <f>D12+D20+D21</f>
        <v>96449800</v>
      </c>
      <c r="E9" s="85">
        <f>E12</f>
        <v>85449800</v>
      </c>
      <c r="F9" s="85"/>
      <c r="G9" s="85">
        <f>G20</f>
        <v>0</v>
      </c>
      <c r="H9" s="85">
        <v>0</v>
      </c>
      <c r="I9" s="85">
        <f>I12+I21</f>
        <v>11000000</v>
      </c>
      <c r="J9" s="71"/>
    </row>
    <row r="10" spans="1:12" ht="14.25" customHeight="1" x14ac:dyDescent="0.25">
      <c r="A10" s="25" t="s">
        <v>4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2" x14ac:dyDescent="0.25">
      <c r="A11" s="68" t="s">
        <v>85</v>
      </c>
      <c r="B11" s="69">
        <v>110</v>
      </c>
      <c r="C11" s="69">
        <v>120</v>
      </c>
      <c r="D11" s="69"/>
      <c r="E11" s="69" t="s">
        <v>7</v>
      </c>
      <c r="F11" s="69"/>
      <c r="G11" s="69" t="s">
        <v>7</v>
      </c>
      <c r="H11" s="69" t="s">
        <v>7</v>
      </c>
      <c r="I11" s="69"/>
      <c r="J11" s="69" t="s">
        <v>7</v>
      </c>
    </row>
    <row r="12" spans="1:12" ht="15.75" customHeight="1" x14ac:dyDescent="0.25">
      <c r="A12" s="68" t="s">
        <v>153</v>
      </c>
      <c r="B12" s="69">
        <v>120</v>
      </c>
      <c r="C12" s="69">
        <v>130</v>
      </c>
      <c r="D12" s="95">
        <f>D14+D15+D17</f>
        <v>96449800</v>
      </c>
      <c r="E12" s="95">
        <f>E14+E15</f>
        <v>85449800</v>
      </c>
      <c r="F12" s="95"/>
      <c r="G12" s="69" t="s">
        <v>7</v>
      </c>
      <c r="H12" s="69" t="s">
        <v>7</v>
      </c>
      <c r="I12" s="95">
        <f>I14+I16+I17</f>
        <v>11000000</v>
      </c>
      <c r="J12" s="69"/>
    </row>
    <row r="13" spans="1:12" s="29" customFormat="1" ht="14.25" customHeight="1" x14ac:dyDescent="0.25">
      <c r="A13" s="43" t="s">
        <v>4</v>
      </c>
      <c r="B13" s="41"/>
      <c r="C13" s="41"/>
      <c r="D13" s="41"/>
      <c r="E13" s="41"/>
      <c r="F13" s="41"/>
      <c r="G13" s="41"/>
      <c r="H13" s="41"/>
      <c r="I13" s="41"/>
      <c r="J13" s="41"/>
      <c r="K13" s="17"/>
    </row>
    <row r="14" spans="1:12" s="29" customFormat="1" ht="18.75" customHeight="1" x14ac:dyDescent="0.25">
      <c r="A14" s="94" t="s">
        <v>246</v>
      </c>
      <c r="B14" s="40">
        <v>1201</v>
      </c>
      <c r="C14" s="41">
        <v>130</v>
      </c>
      <c r="D14" s="75">
        <f>E14+I14</f>
        <v>96003800</v>
      </c>
      <c r="E14" s="75">
        <f>85449800-446000</f>
        <v>85003800</v>
      </c>
      <c r="F14" s="75"/>
      <c r="G14" s="75">
        <v>0</v>
      </c>
      <c r="H14" s="41"/>
      <c r="I14" s="75">
        <v>11000000</v>
      </c>
      <c r="J14" s="75"/>
      <c r="K14" s="17"/>
      <c r="L14" s="114"/>
    </row>
    <row r="15" spans="1:12" s="29" customFormat="1" ht="49.5" customHeight="1" x14ac:dyDescent="0.25">
      <c r="A15" s="111" t="s">
        <v>221</v>
      </c>
      <c r="B15" s="40">
        <v>1202</v>
      </c>
      <c r="C15" s="41">
        <v>130</v>
      </c>
      <c r="D15" s="75">
        <f>E15</f>
        <v>446000</v>
      </c>
      <c r="E15" s="75">
        <v>446000</v>
      </c>
      <c r="F15" s="75"/>
      <c r="G15" s="75"/>
      <c r="H15" s="41"/>
      <c r="I15" s="75"/>
      <c r="J15" s="75"/>
      <c r="K15" s="17"/>
    </row>
    <row r="16" spans="1:12" s="29" customFormat="1" ht="59.25" customHeight="1" x14ac:dyDescent="0.25">
      <c r="A16" s="94" t="s">
        <v>222</v>
      </c>
      <c r="B16" s="40">
        <v>1203</v>
      </c>
      <c r="C16" s="41">
        <v>130</v>
      </c>
      <c r="D16" s="75"/>
      <c r="E16" s="75"/>
      <c r="F16" s="75"/>
      <c r="G16" s="75"/>
      <c r="H16" s="41"/>
      <c r="I16" s="75"/>
      <c r="J16" s="75"/>
      <c r="K16" s="17"/>
    </row>
    <row r="17" spans="1:11" s="29" customFormat="1" ht="18.75" customHeight="1" x14ac:dyDescent="0.25">
      <c r="A17" s="94" t="s">
        <v>218</v>
      </c>
      <c r="B17" s="40">
        <v>1204</v>
      </c>
      <c r="C17" s="41">
        <v>130</v>
      </c>
      <c r="D17" s="75"/>
      <c r="E17" s="75"/>
      <c r="F17" s="75"/>
      <c r="G17" s="75"/>
      <c r="H17" s="41"/>
      <c r="I17" s="75"/>
      <c r="J17" s="75"/>
      <c r="K17" s="17"/>
    </row>
    <row r="18" spans="1:11" s="29" customFormat="1" ht="33" customHeight="1" x14ac:dyDescent="0.25">
      <c r="A18" s="107" t="s">
        <v>187</v>
      </c>
      <c r="B18" s="40">
        <v>130</v>
      </c>
      <c r="C18" s="41"/>
      <c r="D18" s="75"/>
      <c r="E18" s="41" t="s">
        <v>7</v>
      </c>
      <c r="F18" s="41"/>
      <c r="G18" s="41" t="s">
        <v>7</v>
      </c>
      <c r="H18" s="41" t="s">
        <v>7</v>
      </c>
      <c r="I18" s="75"/>
      <c r="J18" s="75" t="s">
        <v>7</v>
      </c>
      <c r="K18" s="17"/>
    </row>
    <row r="19" spans="1:11" s="29" customFormat="1" ht="54.75" customHeight="1" x14ac:dyDescent="0.25">
      <c r="A19" s="107" t="s">
        <v>188</v>
      </c>
      <c r="B19" s="40">
        <v>140</v>
      </c>
      <c r="C19" s="41"/>
      <c r="D19" s="75"/>
      <c r="E19" s="41" t="s">
        <v>7</v>
      </c>
      <c r="F19" s="41"/>
      <c r="G19" s="41" t="s">
        <v>7</v>
      </c>
      <c r="H19" s="41" t="s">
        <v>7</v>
      </c>
      <c r="I19" s="75"/>
      <c r="J19" s="75" t="s">
        <v>7</v>
      </c>
      <c r="K19" s="17"/>
    </row>
    <row r="20" spans="1:11" s="29" customFormat="1" ht="18.75" customHeight="1" x14ac:dyDescent="0.25">
      <c r="A20" s="103" t="s">
        <v>186</v>
      </c>
      <c r="B20" s="104">
        <v>150</v>
      </c>
      <c r="C20" s="105">
        <v>180</v>
      </c>
      <c r="D20" s="106">
        <f>G20</f>
        <v>0</v>
      </c>
      <c r="E20" s="105" t="s">
        <v>7</v>
      </c>
      <c r="F20" s="105"/>
      <c r="G20" s="106">
        <f>G27</f>
        <v>0</v>
      </c>
      <c r="H20" s="105"/>
      <c r="I20" s="105" t="s">
        <v>7</v>
      </c>
      <c r="J20" s="105" t="s">
        <v>7</v>
      </c>
      <c r="K20" s="17"/>
    </row>
    <row r="21" spans="1:11" s="29" customFormat="1" x14ac:dyDescent="0.25">
      <c r="A21" s="39" t="s">
        <v>86</v>
      </c>
      <c r="B21" s="40">
        <v>160</v>
      </c>
      <c r="C21" s="41">
        <v>180</v>
      </c>
      <c r="D21" s="115">
        <f>I21</f>
        <v>0</v>
      </c>
      <c r="E21" s="86" t="s">
        <v>7</v>
      </c>
      <c r="F21" s="86"/>
      <c r="G21" s="75" t="s">
        <v>7</v>
      </c>
      <c r="H21" s="41" t="s">
        <v>7</v>
      </c>
      <c r="I21" s="115"/>
      <c r="J21" s="41"/>
      <c r="K21" s="17"/>
    </row>
    <row r="22" spans="1:11" s="29" customFormat="1" ht="150" customHeight="1" x14ac:dyDescent="0.25">
      <c r="A22" s="39" t="s">
        <v>216</v>
      </c>
      <c r="B22" s="40"/>
      <c r="C22" s="41"/>
      <c r="D22" s="109"/>
      <c r="E22" s="86"/>
      <c r="F22" s="86"/>
      <c r="G22" s="75"/>
      <c r="H22" s="41"/>
      <c r="I22" s="109"/>
      <c r="J22" s="41"/>
      <c r="K22" s="17"/>
    </row>
    <row r="23" spans="1:11" s="29" customFormat="1" x14ac:dyDescent="0.25">
      <c r="A23" s="39" t="s">
        <v>194</v>
      </c>
      <c r="B23" s="40">
        <v>180</v>
      </c>
      <c r="C23" s="41" t="s">
        <v>7</v>
      </c>
      <c r="D23" s="75"/>
      <c r="E23" s="86"/>
      <c r="F23" s="86"/>
      <c r="G23" s="75"/>
      <c r="H23" s="41"/>
      <c r="I23" s="75"/>
      <c r="J23" s="41"/>
      <c r="K23" s="17"/>
    </row>
    <row r="24" spans="1:11" s="29" customFormat="1" x14ac:dyDescent="0.25">
      <c r="A24" s="39" t="s">
        <v>4</v>
      </c>
      <c r="B24" s="40"/>
      <c r="C24" s="41"/>
      <c r="D24" s="75"/>
      <c r="E24" s="86"/>
      <c r="F24" s="86"/>
      <c r="G24" s="75"/>
      <c r="H24" s="41"/>
      <c r="I24" s="75"/>
      <c r="J24" s="41"/>
      <c r="K24" s="17"/>
    </row>
    <row r="25" spans="1:11" s="29" customFormat="1" x14ac:dyDescent="0.25">
      <c r="A25" s="39"/>
      <c r="B25" s="40">
        <v>1801</v>
      </c>
      <c r="C25" s="41" t="s">
        <v>7</v>
      </c>
      <c r="D25" s="75"/>
      <c r="E25" s="86" t="s">
        <v>7</v>
      </c>
      <c r="F25" s="86"/>
      <c r="G25" s="75" t="s">
        <v>7</v>
      </c>
      <c r="H25" s="41" t="s">
        <v>7</v>
      </c>
      <c r="I25" s="75"/>
      <c r="J25" s="41" t="s">
        <v>7</v>
      </c>
      <c r="K25" s="17"/>
    </row>
    <row r="26" spans="1:11" s="29" customFormat="1" x14ac:dyDescent="0.25">
      <c r="A26" s="39"/>
      <c r="B26" s="40">
        <v>1802</v>
      </c>
      <c r="C26" s="41" t="s">
        <v>7</v>
      </c>
      <c r="D26" s="75"/>
      <c r="E26" s="86" t="s">
        <v>7</v>
      </c>
      <c r="F26" s="86"/>
      <c r="G26" s="75" t="s">
        <v>7</v>
      </c>
      <c r="H26" s="41" t="s">
        <v>7</v>
      </c>
      <c r="I26" s="75"/>
      <c r="J26" s="41" t="s">
        <v>7</v>
      </c>
      <c r="K26" s="17"/>
    </row>
    <row r="27" spans="1:11" x14ac:dyDescent="0.25">
      <c r="A27" s="72" t="s">
        <v>84</v>
      </c>
      <c r="B27" s="73">
        <v>200</v>
      </c>
      <c r="C27" s="73" t="s">
        <v>7</v>
      </c>
      <c r="D27" s="77">
        <f>D29+ D34+D38+D47</f>
        <v>96449800</v>
      </c>
      <c r="E27" s="77">
        <f>E47+E29+E34+E38</f>
        <v>85449800</v>
      </c>
      <c r="F27" s="77"/>
      <c r="G27" s="77"/>
      <c r="H27" s="73"/>
      <c r="I27" s="77">
        <f>I29+I47</f>
        <v>11000000</v>
      </c>
      <c r="J27" s="73"/>
      <c r="K27" s="108"/>
    </row>
    <row r="28" spans="1:11" ht="14.25" customHeight="1" x14ac:dyDescent="0.25">
      <c r="A28" s="25" t="s">
        <v>90</v>
      </c>
      <c r="B28" s="42"/>
      <c r="C28" s="42"/>
      <c r="D28" s="42"/>
      <c r="E28" s="42"/>
      <c r="F28" s="42"/>
      <c r="G28" s="42"/>
      <c r="H28" s="42"/>
      <c r="I28" s="42"/>
      <c r="J28" s="42"/>
    </row>
    <row r="29" spans="1:11" x14ac:dyDescent="0.25">
      <c r="A29" s="26" t="s">
        <v>189</v>
      </c>
      <c r="B29" s="42">
        <v>210</v>
      </c>
      <c r="C29" s="42"/>
      <c r="D29" s="76">
        <f>D31+D32+D33</f>
        <v>74937751.319999993</v>
      </c>
      <c r="E29" s="76">
        <f>E31+E32+E33</f>
        <v>72288746.469999999</v>
      </c>
      <c r="F29" s="76"/>
      <c r="G29" s="76"/>
      <c r="H29" s="42"/>
      <c r="I29" s="76">
        <f>I31+I32+I33</f>
        <v>2649004.85</v>
      </c>
      <c r="J29" s="42"/>
    </row>
    <row r="30" spans="1:11" x14ac:dyDescent="0.25">
      <c r="A30" s="26" t="s">
        <v>8</v>
      </c>
      <c r="B30" s="42"/>
      <c r="C30" s="42"/>
      <c r="D30" s="76"/>
      <c r="E30" s="76"/>
      <c r="F30" s="76"/>
      <c r="G30" s="76"/>
      <c r="H30" s="42"/>
      <c r="I30" s="42"/>
      <c r="J30" s="42"/>
    </row>
    <row r="31" spans="1:11" ht="12.75" customHeight="1" x14ac:dyDescent="0.25">
      <c r="A31" s="26" t="s">
        <v>190</v>
      </c>
      <c r="B31" s="42">
        <v>211</v>
      </c>
      <c r="C31" s="42">
        <v>111</v>
      </c>
      <c r="D31" s="110">
        <f>E31+G31+I31</f>
        <v>57509629.609999999</v>
      </c>
      <c r="E31" s="76">
        <v>55475064</v>
      </c>
      <c r="F31" s="76"/>
      <c r="G31" s="110"/>
      <c r="H31" s="42"/>
      <c r="I31" s="76">
        <v>2034565.61</v>
      </c>
      <c r="J31" s="42"/>
    </row>
    <row r="32" spans="1:11" x14ac:dyDescent="0.25">
      <c r="A32" s="26" t="s">
        <v>191</v>
      </c>
      <c r="B32" s="42">
        <v>212</v>
      </c>
      <c r="C32" s="42">
        <v>112</v>
      </c>
      <c r="D32" s="76">
        <f>E32+G32</f>
        <v>133480</v>
      </c>
      <c r="E32" s="76">
        <f>127180+6300</f>
        <v>133480</v>
      </c>
      <c r="F32" s="76"/>
      <c r="G32" s="76"/>
      <c r="H32" s="42"/>
      <c r="I32" s="78">
        <v>0</v>
      </c>
      <c r="J32" s="75"/>
    </row>
    <row r="33" spans="1:12" ht="14.25" customHeight="1" x14ac:dyDescent="0.25">
      <c r="A33" s="26" t="s">
        <v>192</v>
      </c>
      <c r="B33" s="42">
        <v>213</v>
      </c>
      <c r="C33" s="42">
        <v>119</v>
      </c>
      <c r="D33" s="110">
        <f>E33+G33+I33</f>
        <v>17294641.710000001</v>
      </c>
      <c r="E33" s="110">
        <v>16680202.470000001</v>
      </c>
      <c r="F33" s="110"/>
      <c r="G33" s="110"/>
      <c r="H33" s="42"/>
      <c r="I33" s="76">
        <v>614439.24</v>
      </c>
      <c r="J33" s="42"/>
    </row>
    <row r="34" spans="1:12" ht="14.25" customHeight="1" x14ac:dyDescent="0.25">
      <c r="A34" s="68" t="s">
        <v>195</v>
      </c>
      <c r="B34" s="69">
        <v>220</v>
      </c>
      <c r="C34" s="69"/>
      <c r="D34" s="95"/>
      <c r="E34" s="95"/>
      <c r="F34" s="95"/>
      <c r="G34" s="95"/>
      <c r="H34" s="69"/>
      <c r="I34" s="96"/>
      <c r="J34" s="69"/>
      <c r="K34" s="108"/>
    </row>
    <row r="35" spans="1:12" ht="14.25" customHeight="1" x14ac:dyDescent="0.25">
      <c r="A35" s="25" t="s">
        <v>8</v>
      </c>
      <c r="B35" s="42"/>
      <c r="C35" s="42"/>
      <c r="D35" s="76"/>
      <c r="E35" s="76"/>
      <c r="F35" s="76"/>
      <c r="G35" s="76"/>
      <c r="H35" s="42"/>
      <c r="I35" s="78"/>
      <c r="J35" s="42"/>
    </row>
    <row r="36" spans="1:12" ht="30" customHeight="1" x14ac:dyDescent="0.25">
      <c r="A36" s="25" t="s">
        <v>210</v>
      </c>
      <c r="B36" s="42">
        <v>2201</v>
      </c>
      <c r="C36" s="42"/>
      <c r="D36" s="76"/>
      <c r="E36" s="76"/>
      <c r="F36" s="76"/>
      <c r="G36" s="76"/>
      <c r="H36" s="42"/>
      <c r="I36" s="78"/>
      <c r="J36" s="42"/>
      <c r="K36" s="108"/>
    </row>
    <row r="37" spans="1:12" ht="40.5" customHeight="1" x14ac:dyDescent="0.25">
      <c r="A37" s="26" t="s">
        <v>215</v>
      </c>
      <c r="B37" s="42">
        <v>2202</v>
      </c>
      <c r="C37" s="42"/>
      <c r="D37" s="110"/>
      <c r="E37" s="110"/>
      <c r="F37" s="110"/>
      <c r="G37" s="110"/>
      <c r="H37" s="42"/>
      <c r="I37" s="78"/>
      <c r="J37" s="42"/>
      <c r="K37" s="108"/>
    </row>
    <row r="38" spans="1:12" ht="14.25" customHeight="1" x14ac:dyDescent="0.25">
      <c r="A38" s="68" t="s">
        <v>196</v>
      </c>
      <c r="B38" s="69">
        <v>230</v>
      </c>
      <c r="C38" s="69">
        <v>850</v>
      </c>
      <c r="D38" s="95">
        <f>E38</f>
        <v>468392.53</v>
      </c>
      <c r="E38" s="95">
        <f>E40+E41+E42</f>
        <v>468392.53</v>
      </c>
      <c r="F38" s="95"/>
      <c r="G38" s="95"/>
      <c r="H38" s="69"/>
      <c r="I38" s="96"/>
      <c r="J38" s="69"/>
      <c r="K38" s="108"/>
    </row>
    <row r="39" spans="1:12" ht="14.25" customHeight="1" x14ac:dyDescent="0.25">
      <c r="A39" s="25" t="s">
        <v>8</v>
      </c>
      <c r="B39" s="42"/>
      <c r="C39" s="42"/>
      <c r="D39" s="76"/>
      <c r="E39" s="76"/>
      <c r="F39" s="76"/>
      <c r="G39" s="76"/>
      <c r="H39" s="42"/>
      <c r="I39" s="78"/>
      <c r="J39" s="42"/>
    </row>
    <row r="40" spans="1:12" ht="14.25" customHeight="1" x14ac:dyDescent="0.25">
      <c r="A40" s="25" t="s">
        <v>197</v>
      </c>
      <c r="B40" s="42">
        <v>2301</v>
      </c>
      <c r="C40" s="42">
        <v>851</v>
      </c>
      <c r="D40" s="76">
        <f>E40</f>
        <v>446000</v>
      </c>
      <c r="E40" s="76">
        <v>446000</v>
      </c>
      <c r="F40" s="76"/>
      <c r="G40" s="76"/>
      <c r="H40" s="42"/>
      <c r="I40" s="78"/>
      <c r="J40" s="42"/>
    </row>
    <row r="41" spans="1:12" ht="29.25" customHeight="1" x14ac:dyDescent="0.25">
      <c r="A41" s="26" t="s">
        <v>249</v>
      </c>
      <c r="B41" s="42">
        <v>2302</v>
      </c>
      <c r="C41" s="42">
        <v>852</v>
      </c>
      <c r="D41" s="76">
        <f>E41</f>
        <v>15392.53</v>
      </c>
      <c r="E41" s="76">
        <f>8192.53+7200</f>
        <v>15392.53</v>
      </c>
      <c r="F41" s="76"/>
      <c r="G41" s="76"/>
      <c r="H41" s="42"/>
      <c r="I41" s="78"/>
      <c r="J41" s="42"/>
      <c r="L41" s="108"/>
    </row>
    <row r="42" spans="1:12" ht="22.5" customHeight="1" x14ac:dyDescent="0.25">
      <c r="A42" s="26" t="s">
        <v>217</v>
      </c>
      <c r="B42" s="42">
        <v>2303</v>
      </c>
      <c r="C42" s="42">
        <v>853</v>
      </c>
      <c r="D42" s="76">
        <v>7000</v>
      </c>
      <c r="E42" s="76">
        <v>7000</v>
      </c>
      <c r="F42" s="76"/>
      <c r="G42" s="76"/>
      <c r="H42" s="42"/>
      <c r="I42" s="78"/>
      <c r="J42" s="42"/>
    </row>
    <row r="43" spans="1:12" ht="19.5" customHeight="1" x14ac:dyDescent="0.25">
      <c r="A43" s="68" t="s">
        <v>198</v>
      </c>
      <c r="B43" s="69">
        <v>240</v>
      </c>
      <c r="C43" s="69"/>
      <c r="D43" s="95"/>
      <c r="E43" s="95"/>
      <c r="F43" s="95"/>
      <c r="G43" s="95"/>
      <c r="H43" s="69"/>
      <c r="I43" s="96"/>
      <c r="J43" s="69"/>
    </row>
    <row r="44" spans="1:12" ht="24" customHeight="1" x14ac:dyDescent="0.25">
      <c r="A44" s="68" t="s">
        <v>199</v>
      </c>
      <c r="B44" s="69">
        <v>250</v>
      </c>
      <c r="C44" s="69"/>
      <c r="D44" s="95"/>
      <c r="E44" s="95"/>
      <c r="F44" s="95"/>
      <c r="G44" s="95"/>
      <c r="H44" s="69"/>
      <c r="I44" s="96"/>
      <c r="J44" s="69"/>
    </row>
    <row r="45" spans="1:12" ht="14.25" customHeight="1" x14ac:dyDescent="0.25">
      <c r="A45" s="26"/>
      <c r="B45" s="42">
        <v>2501</v>
      </c>
      <c r="C45" s="42"/>
      <c r="D45" s="76"/>
      <c r="E45" s="76"/>
      <c r="F45" s="76"/>
      <c r="G45" s="76"/>
      <c r="H45" s="42"/>
      <c r="I45" s="78"/>
      <c r="J45" s="42"/>
    </row>
    <row r="46" spans="1:12" ht="14.25" customHeight="1" x14ac:dyDescent="0.25">
      <c r="A46" s="26"/>
      <c r="B46" s="42">
        <v>2502</v>
      </c>
      <c r="C46" s="42"/>
      <c r="D46" s="76"/>
      <c r="E46" s="76"/>
      <c r="F46" s="76"/>
      <c r="G46" s="76"/>
      <c r="H46" s="42"/>
      <c r="I46" s="78"/>
      <c r="J46" s="42"/>
    </row>
    <row r="47" spans="1:12" x14ac:dyDescent="0.25">
      <c r="A47" s="68" t="s">
        <v>91</v>
      </c>
      <c r="B47" s="69">
        <v>260</v>
      </c>
      <c r="C47" s="69"/>
      <c r="D47" s="87">
        <f>D49+D51+D53+D57+D61+D60</f>
        <v>21043656.149999999</v>
      </c>
      <c r="E47" s="87">
        <f>E49+E51+E53+E57+E61+E60</f>
        <v>12692661</v>
      </c>
      <c r="F47" s="87"/>
      <c r="G47" s="87"/>
      <c r="H47" s="87"/>
      <c r="I47" s="87">
        <f>I49+I51+I53+I57+I61</f>
        <v>8350995.1500000004</v>
      </c>
      <c r="J47" s="69"/>
    </row>
    <row r="48" spans="1:12" x14ac:dyDescent="0.25">
      <c r="A48" s="26" t="s">
        <v>8</v>
      </c>
      <c r="B48" s="42"/>
      <c r="C48" s="42"/>
      <c r="D48" s="42"/>
      <c r="E48" s="76"/>
      <c r="F48" s="76"/>
      <c r="G48" s="76"/>
      <c r="H48" s="42"/>
      <c r="I48" s="42"/>
      <c r="J48" s="42"/>
    </row>
    <row r="49" spans="1:12" x14ac:dyDescent="0.25">
      <c r="A49" s="26" t="s">
        <v>157</v>
      </c>
      <c r="B49" s="42">
        <v>2601</v>
      </c>
      <c r="C49" s="42">
        <v>244</v>
      </c>
      <c r="D49" s="76">
        <f>E49+G49+I49</f>
        <v>253790</v>
      </c>
      <c r="E49" s="76">
        <v>253790</v>
      </c>
      <c r="F49" s="76"/>
      <c r="G49" s="76"/>
      <c r="H49" s="42"/>
      <c r="I49" s="76"/>
      <c r="J49" s="42"/>
    </row>
    <row r="50" spans="1:12" x14ac:dyDescent="0.25">
      <c r="A50" s="26" t="s">
        <v>158</v>
      </c>
      <c r="B50" s="42">
        <v>2602</v>
      </c>
      <c r="C50" s="42">
        <v>244</v>
      </c>
      <c r="D50" s="76">
        <f>E50+G50+I50</f>
        <v>0</v>
      </c>
      <c r="E50" s="76">
        <v>0</v>
      </c>
      <c r="F50" s="76"/>
      <c r="G50" s="76"/>
      <c r="H50" s="42"/>
      <c r="I50" s="76"/>
      <c r="J50" s="42"/>
    </row>
    <row r="51" spans="1:12" x14ac:dyDescent="0.25">
      <c r="A51" s="26" t="s">
        <v>159</v>
      </c>
      <c r="B51" s="42">
        <v>2603</v>
      </c>
      <c r="C51" s="42">
        <v>244</v>
      </c>
      <c r="D51" s="76">
        <f>E51+G51+I51</f>
        <v>5574949.5099999998</v>
      </c>
      <c r="E51" s="76">
        <v>4174949.51</v>
      </c>
      <c r="F51" s="76"/>
      <c r="G51" s="76"/>
      <c r="H51" s="42"/>
      <c r="I51" s="76">
        <v>1400000</v>
      </c>
      <c r="J51" s="42"/>
    </row>
    <row r="52" spans="1:12" x14ac:dyDescent="0.25">
      <c r="A52" s="26" t="s">
        <v>160</v>
      </c>
      <c r="B52" s="42">
        <v>2604</v>
      </c>
      <c r="C52" s="42"/>
      <c r="D52" s="42"/>
      <c r="E52" s="78"/>
      <c r="F52" s="78"/>
      <c r="G52" s="76"/>
      <c r="H52" s="42"/>
      <c r="I52" s="42"/>
      <c r="J52" s="42"/>
    </row>
    <row r="53" spans="1:12" x14ac:dyDescent="0.25">
      <c r="A53" s="26" t="s">
        <v>250</v>
      </c>
      <c r="B53" s="42">
        <v>2605</v>
      </c>
      <c r="C53" s="42">
        <v>244</v>
      </c>
      <c r="D53" s="76">
        <f>E53+G53+I53</f>
        <v>2598837.7299999995</v>
      </c>
      <c r="E53" s="76">
        <v>1199588.6599999999</v>
      </c>
      <c r="F53" s="76"/>
      <c r="G53" s="76"/>
      <c r="H53" s="42"/>
      <c r="I53" s="76">
        <f>879249.07+520000</f>
        <v>1399249.0699999998</v>
      </c>
      <c r="J53" s="42"/>
    </row>
    <row r="54" spans="1:12" x14ac:dyDescent="0.25">
      <c r="A54" s="26" t="s">
        <v>4</v>
      </c>
      <c r="B54" s="42"/>
      <c r="C54" s="42"/>
      <c r="D54" s="42"/>
      <c r="E54" s="78"/>
      <c r="F54" s="78"/>
      <c r="G54" s="76"/>
      <c r="H54" s="42"/>
      <c r="I54" s="42"/>
      <c r="J54" s="42"/>
    </row>
    <row r="55" spans="1:12" x14ac:dyDescent="0.25">
      <c r="A55" s="26" t="s">
        <v>200</v>
      </c>
      <c r="B55" s="42"/>
      <c r="C55" s="42">
        <v>244</v>
      </c>
      <c r="D55" s="76">
        <f>E55+G55</f>
        <v>45200</v>
      </c>
      <c r="E55" s="76">
        <f>35200+10000</f>
        <v>45200</v>
      </c>
      <c r="F55" s="76"/>
      <c r="G55" s="76"/>
      <c r="H55" s="42"/>
      <c r="I55" s="42"/>
      <c r="J55" s="42"/>
    </row>
    <row r="56" spans="1:12" x14ac:dyDescent="0.25">
      <c r="A56" s="26" t="s">
        <v>201</v>
      </c>
      <c r="B56" s="42"/>
      <c r="C56" s="42">
        <v>244</v>
      </c>
      <c r="D56" s="76">
        <f>E56+G56+I56</f>
        <v>800000</v>
      </c>
      <c r="E56" s="76">
        <v>80000</v>
      </c>
      <c r="F56" s="76"/>
      <c r="G56" s="76"/>
      <c r="H56" s="42"/>
      <c r="I56" s="76">
        <f>520000+200000</f>
        <v>720000</v>
      </c>
      <c r="J56" s="42"/>
    </row>
    <row r="57" spans="1:12" ht="14.25" customHeight="1" x14ac:dyDescent="0.25">
      <c r="A57" s="26" t="s">
        <v>251</v>
      </c>
      <c r="B57" s="42">
        <v>2606</v>
      </c>
      <c r="C57" s="42">
        <v>244</v>
      </c>
      <c r="D57" s="76">
        <f>E57+G57</f>
        <v>3916216.83</v>
      </c>
      <c r="E57" s="76">
        <v>3916216.83</v>
      </c>
      <c r="F57" s="76"/>
      <c r="G57" s="76"/>
      <c r="H57" s="42"/>
      <c r="I57" s="76"/>
      <c r="J57" s="42"/>
    </row>
    <row r="58" spans="1:12" x14ac:dyDescent="0.25">
      <c r="A58" s="26" t="s">
        <v>156</v>
      </c>
      <c r="B58" s="42"/>
      <c r="C58" s="42"/>
      <c r="D58" s="76"/>
      <c r="E58" s="78"/>
      <c r="F58" s="78"/>
      <c r="G58" s="76"/>
      <c r="H58" s="42"/>
      <c r="I58" s="42"/>
      <c r="J58" s="42"/>
      <c r="L58" s="108"/>
    </row>
    <row r="59" spans="1:12" x14ac:dyDescent="0.25">
      <c r="A59" s="26" t="s">
        <v>161</v>
      </c>
      <c r="B59" s="42"/>
      <c r="C59" s="42"/>
      <c r="D59" s="76"/>
      <c r="E59" s="78"/>
      <c r="F59" s="78"/>
      <c r="G59" s="76"/>
      <c r="H59" s="42"/>
      <c r="I59" s="42"/>
      <c r="J59" s="42"/>
    </row>
    <row r="60" spans="1:12" x14ac:dyDescent="0.25">
      <c r="A60" s="26" t="s">
        <v>152</v>
      </c>
      <c r="B60" s="42">
        <v>2607</v>
      </c>
      <c r="C60" s="42"/>
      <c r="D60" s="76">
        <f>E60+G60</f>
        <v>0</v>
      </c>
      <c r="E60" s="76">
        <v>0</v>
      </c>
      <c r="F60" s="78"/>
      <c r="G60" s="76"/>
      <c r="H60" s="42"/>
      <c r="I60" s="42"/>
      <c r="J60" s="42"/>
    </row>
    <row r="61" spans="1:12" ht="25.5" x14ac:dyDescent="0.25">
      <c r="A61" s="26" t="s">
        <v>252</v>
      </c>
      <c r="B61" s="42">
        <v>2608</v>
      </c>
      <c r="C61" s="42">
        <v>244</v>
      </c>
      <c r="D61" s="76">
        <f>E61+I61+G61</f>
        <v>8699862.0800000001</v>
      </c>
      <c r="E61" s="76">
        <v>3148116</v>
      </c>
      <c r="F61" s="76"/>
      <c r="G61" s="76"/>
      <c r="H61" s="42"/>
      <c r="I61" s="76">
        <f>5551746.08</f>
        <v>5551746.0800000001</v>
      </c>
      <c r="J61" s="42"/>
    </row>
    <row r="62" spans="1:12" x14ac:dyDescent="0.25">
      <c r="A62" s="74" t="s">
        <v>4</v>
      </c>
      <c r="B62" s="42"/>
      <c r="C62" s="42"/>
      <c r="D62" s="76"/>
      <c r="E62" s="78"/>
      <c r="F62" s="78"/>
      <c r="G62" s="76"/>
      <c r="H62" s="42"/>
      <c r="I62" s="42"/>
      <c r="J62" s="42"/>
      <c r="K62" s="108"/>
    </row>
    <row r="63" spans="1:12" x14ac:dyDescent="0.25">
      <c r="A63" s="74" t="s">
        <v>253</v>
      </c>
      <c r="B63" s="42"/>
      <c r="C63" s="42">
        <v>244</v>
      </c>
      <c r="D63" s="76">
        <f>E63+I63+G63</f>
        <v>35000</v>
      </c>
      <c r="E63" s="78"/>
      <c r="F63" s="78"/>
      <c r="G63" s="76"/>
      <c r="H63" s="42"/>
      <c r="I63" s="76">
        <f>35000</f>
        <v>35000</v>
      </c>
      <c r="J63" s="42"/>
      <c r="K63" s="108"/>
    </row>
    <row r="64" spans="1:12" x14ac:dyDescent="0.25">
      <c r="A64" s="74" t="s">
        <v>162</v>
      </c>
      <c r="B64" s="42"/>
      <c r="C64" s="42">
        <v>244</v>
      </c>
      <c r="D64" s="76">
        <f>E64+I64</f>
        <v>398940</v>
      </c>
      <c r="E64" s="76">
        <v>398940</v>
      </c>
      <c r="F64" s="76"/>
      <c r="G64" s="76"/>
      <c r="H64" s="42"/>
      <c r="I64" s="76"/>
      <c r="J64" s="42"/>
    </row>
    <row r="65" spans="1:10" x14ac:dyDescent="0.25">
      <c r="A65" s="74" t="s">
        <v>163</v>
      </c>
      <c r="B65" s="42"/>
      <c r="C65" s="42">
        <v>244</v>
      </c>
      <c r="D65" s="76">
        <f>E65+G65+I65</f>
        <v>6451638.8300000001</v>
      </c>
      <c r="E65" s="76">
        <v>1800000</v>
      </c>
      <c r="F65" s="76"/>
      <c r="G65" s="76"/>
      <c r="H65" s="42"/>
      <c r="I65" s="76">
        <f>4636638.83+15000</f>
        <v>4651638.83</v>
      </c>
      <c r="J65" s="42"/>
    </row>
    <row r="66" spans="1:10" x14ac:dyDescent="0.25">
      <c r="A66" s="74" t="s">
        <v>164</v>
      </c>
      <c r="B66" s="42"/>
      <c r="C66" s="42">
        <v>244</v>
      </c>
      <c r="D66" s="76">
        <f>E66+G66+I66</f>
        <v>466950</v>
      </c>
      <c r="E66" s="76">
        <v>100000</v>
      </c>
      <c r="F66" s="78"/>
      <c r="G66" s="76"/>
      <c r="H66" s="42"/>
      <c r="I66" s="76">
        <v>366950</v>
      </c>
      <c r="J66" s="42"/>
    </row>
    <row r="67" spans="1:10" x14ac:dyDescent="0.25">
      <c r="A67" s="74" t="s">
        <v>245</v>
      </c>
      <c r="B67" s="42">
        <v>270</v>
      </c>
      <c r="C67" s="42"/>
      <c r="D67" s="78"/>
      <c r="E67" s="78"/>
      <c r="F67" s="78"/>
      <c r="G67" s="76"/>
      <c r="H67" s="42"/>
      <c r="I67" s="76"/>
      <c r="J67" s="42"/>
    </row>
    <row r="68" spans="1:10" x14ac:dyDescent="0.25">
      <c r="A68" s="70" t="s">
        <v>202</v>
      </c>
      <c r="B68" s="71">
        <v>300</v>
      </c>
      <c r="C68" s="71" t="s">
        <v>7</v>
      </c>
      <c r="D68" s="97"/>
      <c r="E68" s="97"/>
      <c r="F68" s="97"/>
      <c r="G68" s="98"/>
      <c r="H68" s="99"/>
      <c r="I68" s="99"/>
      <c r="J68" s="99"/>
    </row>
    <row r="69" spans="1:10" x14ac:dyDescent="0.25">
      <c r="A69" s="25" t="s">
        <v>8</v>
      </c>
      <c r="B69" s="42"/>
      <c r="C69" s="42"/>
      <c r="D69" s="78"/>
      <c r="E69" s="78"/>
      <c r="F69" s="78"/>
      <c r="G69" s="76"/>
      <c r="H69" s="42"/>
      <c r="I69" s="42"/>
      <c r="J69" s="42"/>
    </row>
    <row r="70" spans="1:10" x14ac:dyDescent="0.25">
      <c r="A70" s="26" t="s">
        <v>203</v>
      </c>
      <c r="B70" s="42">
        <v>310</v>
      </c>
      <c r="C70" s="42"/>
      <c r="D70" s="78"/>
      <c r="E70" s="78"/>
      <c r="F70" s="78"/>
      <c r="G70" s="76"/>
      <c r="H70" s="42"/>
      <c r="I70" s="42"/>
      <c r="J70" s="42"/>
    </row>
    <row r="71" spans="1:10" x14ac:dyDescent="0.25">
      <c r="A71" s="26" t="s">
        <v>204</v>
      </c>
      <c r="B71" s="42">
        <v>320</v>
      </c>
      <c r="C71" s="42"/>
      <c r="D71" s="78"/>
      <c r="E71" s="78"/>
      <c r="F71" s="78"/>
      <c r="G71" s="76"/>
      <c r="H71" s="42"/>
      <c r="I71" s="42"/>
      <c r="J71" s="42"/>
    </row>
    <row r="72" spans="1:10" x14ac:dyDescent="0.25">
      <c r="A72" s="72" t="s">
        <v>205</v>
      </c>
      <c r="B72" s="73">
        <v>400</v>
      </c>
      <c r="C72" s="73"/>
      <c r="D72" s="100"/>
      <c r="E72" s="100"/>
      <c r="F72" s="100"/>
      <c r="G72" s="101"/>
      <c r="H72" s="102"/>
      <c r="I72" s="102"/>
      <c r="J72" s="102"/>
    </row>
    <row r="73" spans="1:10" x14ac:dyDescent="0.25">
      <c r="A73" s="25" t="s">
        <v>8</v>
      </c>
      <c r="B73" s="42"/>
      <c r="C73" s="42"/>
      <c r="D73" s="78"/>
      <c r="E73" s="78"/>
      <c r="F73" s="78"/>
      <c r="G73" s="76"/>
      <c r="H73" s="42"/>
      <c r="I73" s="42"/>
      <c r="J73" s="42"/>
    </row>
    <row r="74" spans="1:10" x14ac:dyDescent="0.25">
      <c r="A74" s="26" t="s">
        <v>206</v>
      </c>
      <c r="B74" s="42">
        <v>410</v>
      </c>
      <c r="C74" s="42"/>
      <c r="D74" s="78"/>
      <c r="E74" s="78"/>
      <c r="F74" s="78"/>
      <c r="G74" s="76"/>
      <c r="H74" s="42"/>
      <c r="I74" s="42"/>
      <c r="J74" s="42"/>
    </row>
    <row r="75" spans="1:10" x14ac:dyDescent="0.25">
      <c r="A75" s="26" t="s">
        <v>207</v>
      </c>
      <c r="B75" s="42">
        <v>420</v>
      </c>
      <c r="C75" s="42"/>
      <c r="D75" s="78"/>
      <c r="E75" s="78"/>
      <c r="F75" s="78"/>
      <c r="G75" s="76"/>
      <c r="H75" s="42"/>
      <c r="I75" s="42"/>
      <c r="J75" s="42"/>
    </row>
    <row r="76" spans="1:10" x14ac:dyDescent="0.25">
      <c r="A76" s="47" t="s">
        <v>9</v>
      </c>
      <c r="B76" s="45">
        <v>500</v>
      </c>
      <c r="C76" s="45" t="s">
        <v>7</v>
      </c>
      <c r="D76" s="45"/>
      <c r="E76" s="45"/>
      <c r="F76" s="45"/>
      <c r="G76" s="45"/>
      <c r="H76" s="45"/>
      <c r="I76" s="45"/>
      <c r="J76" s="45"/>
    </row>
    <row r="77" spans="1:10" x14ac:dyDescent="0.25">
      <c r="A77" s="47" t="s">
        <v>10</v>
      </c>
      <c r="B77" s="45">
        <v>600</v>
      </c>
      <c r="C77" s="45" t="s">
        <v>7</v>
      </c>
      <c r="D77" s="45"/>
      <c r="E77" s="45"/>
      <c r="F77" s="45"/>
      <c r="G77" s="45"/>
      <c r="H77" s="45"/>
      <c r="I77" s="45"/>
      <c r="J77" s="45"/>
    </row>
    <row r="78" spans="1:10" x14ac:dyDescent="0.25">
      <c r="A78" s="48"/>
      <c r="B78" s="49"/>
      <c r="C78" s="49"/>
      <c r="D78" s="49"/>
      <c r="E78" s="49"/>
      <c r="F78" s="49"/>
      <c r="G78" s="49"/>
      <c r="H78" s="49"/>
      <c r="I78" s="49"/>
      <c r="J78" s="49"/>
    </row>
    <row r="79" spans="1:10" ht="33" customHeight="1" x14ac:dyDescent="0.25">
      <c r="A79" s="262"/>
      <c r="B79" s="262"/>
      <c r="C79" s="262"/>
      <c r="D79" s="262"/>
      <c r="E79" s="262"/>
      <c r="F79" s="262"/>
      <c r="G79" s="262"/>
      <c r="H79" s="262"/>
      <c r="I79" s="262"/>
      <c r="J79" s="262"/>
    </row>
    <row r="80" spans="1:10" x14ac:dyDescent="0.25">
      <c r="A80" s="2"/>
      <c r="B80" s="18"/>
      <c r="C80" s="18"/>
      <c r="D80" s="18"/>
      <c r="E80" s="18"/>
      <c r="F80" s="18"/>
      <c r="G80" s="18"/>
      <c r="H80" s="18"/>
      <c r="I80" s="18"/>
      <c r="J80" s="18"/>
    </row>
    <row r="81" spans="1:10" x14ac:dyDescent="0.25">
      <c r="A81" s="2"/>
      <c r="B81" s="18"/>
      <c r="C81" s="18"/>
      <c r="D81" s="18"/>
      <c r="E81" s="18"/>
      <c r="F81" s="18"/>
      <c r="G81" s="18"/>
      <c r="H81" s="18"/>
      <c r="I81" s="18"/>
      <c r="J81" s="18"/>
    </row>
    <row r="82" spans="1:10" x14ac:dyDescent="0.25">
      <c r="A82" s="2"/>
      <c r="B82" s="18"/>
      <c r="C82" s="18"/>
      <c r="D82" s="18"/>
      <c r="E82" s="18"/>
      <c r="F82" s="18"/>
      <c r="G82" s="18"/>
      <c r="H82" s="18"/>
      <c r="I82" s="18"/>
      <c r="J82" s="18"/>
    </row>
    <row r="83" spans="1:10" x14ac:dyDescent="0.25">
      <c r="A83" s="2"/>
      <c r="B83" s="18"/>
      <c r="C83" s="18"/>
      <c r="D83" s="18"/>
      <c r="E83" s="18"/>
      <c r="F83" s="18"/>
      <c r="G83" s="18"/>
      <c r="H83" s="18"/>
      <c r="I83" s="18"/>
      <c r="J83" s="18"/>
    </row>
    <row r="84" spans="1:10" x14ac:dyDescent="0.25">
      <c r="A84" s="2"/>
      <c r="B84" s="18"/>
      <c r="C84" s="18"/>
      <c r="D84" s="18"/>
      <c r="E84" s="18"/>
      <c r="F84" s="18"/>
      <c r="G84" s="18"/>
      <c r="H84" s="18"/>
      <c r="I84" s="18"/>
      <c r="J84" s="18"/>
    </row>
    <row r="85" spans="1:10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</row>
    <row r="86" spans="1:10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</row>
    <row r="87" spans="1:10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</row>
    <row r="88" spans="1:10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</row>
    <row r="89" spans="1:10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</row>
    <row r="90" spans="1:10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</row>
    <row r="91" spans="1:10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</row>
    <row r="92" spans="1:10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</row>
    <row r="93" spans="1:10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</row>
    <row r="94" spans="1:10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</row>
    <row r="95" spans="1:10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</row>
    <row r="96" spans="1:10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</row>
    <row r="97" spans="1:10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</row>
    <row r="98" spans="1:10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</row>
    <row r="99" spans="1:10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</row>
    <row r="100" spans="1:10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</row>
    <row r="101" spans="1:10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</row>
    <row r="102" spans="1:10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</row>
    <row r="103" spans="1:10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</row>
    <row r="104" spans="1:10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</row>
    <row r="105" spans="1:10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</row>
    <row r="106" spans="1:10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</row>
    <row r="107" spans="1:10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</row>
    <row r="108" spans="1:10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</row>
  </sheetData>
  <mergeCells count="14">
    <mergeCell ref="G6:G7"/>
    <mergeCell ref="H6:H7"/>
    <mergeCell ref="I6:J6"/>
    <mergeCell ref="A79:J79"/>
    <mergeCell ref="A1:J1"/>
    <mergeCell ref="A2:J2"/>
    <mergeCell ref="A4:A7"/>
    <mergeCell ref="B4:B7"/>
    <mergeCell ref="C4:C7"/>
    <mergeCell ref="D4:J4"/>
    <mergeCell ref="D5:D7"/>
    <mergeCell ref="E5:J5"/>
    <mergeCell ref="E6:E7"/>
    <mergeCell ref="F6:F7"/>
  </mergeCells>
  <pageMargins left="0.23622047244094491" right="0.19685039370078741" top="0.27559055118110237" bottom="0.23622047244094491" header="0.15748031496062992" footer="0.15748031496062992"/>
  <pageSetup paperSize="9" scale="75" fitToHeight="2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workbookViewId="0">
      <selection activeCell="C23" sqref="C23"/>
    </sheetView>
  </sheetViews>
  <sheetFormatPr defaultColWidth="9.140625" defaultRowHeight="12.75" x14ac:dyDescent="0.25"/>
  <cols>
    <col min="1" max="1" width="36" style="18" customWidth="1"/>
    <col min="2" max="2" width="6.42578125" style="18" customWidth="1"/>
    <col min="3" max="3" width="8.28515625" style="18" customWidth="1"/>
    <col min="4" max="5" width="12.28515625" style="18" customWidth="1"/>
    <col min="6" max="6" width="12.42578125" style="18" customWidth="1"/>
    <col min="7" max="9" width="11.42578125" style="18" customWidth="1"/>
    <col min="10" max="10" width="12.5703125" style="18" customWidth="1"/>
    <col min="11" max="11" width="13" style="18" customWidth="1"/>
    <col min="12" max="12" width="12.28515625" style="18" customWidth="1"/>
    <col min="13" max="16384" width="9.140625" style="18"/>
  </cols>
  <sheetData>
    <row r="1" spans="1:12" x14ac:dyDescent="0.25">
      <c r="A1" s="263" t="s">
        <v>229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</row>
    <row r="2" spans="1:12" x14ac:dyDescent="0.25">
      <c r="A2" s="263" t="s">
        <v>295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</row>
    <row r="3" spans="1:12" x14ac:dyDescent="0.2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1:12" x14ac:dyDescent="0.25">
      <c r="A4" s="259" t="s">
        <v>0</v>
      </c>
      <c r="B4" s="259" t="s">
        <v>1</v>
      </c>
      <c r="C4" s="259" t="s">
        <v>230</v>
      </c>
      <c r="D4" s="260" t="s">
        <v>231</v>
      </c>
      <c r="E4" s="269"/>
      <c r="F4" s="269"/>
      <c r="G4" s="269"/>
      <c r="H4" s="269"/>
      <c r="I4" s="269"/>
      <c r="J4" s="269"/>
      <c r="K4" s="269"/>
      <c r="L4" s="261"/>
    </row>
    <row r="5" spans="1:12" x14ac:dyDescent="0.25">
      <c r="A5" s="259"/>
      <c r="B5" s="259"/>
      <c r="C5" s="259"/>
      <c r="D5" s="270" t="s">
        <v>232</v>
      </c>
      <c r="E5" s="271"/>
      <c r="F5" s="272"/>
      <c r="G5" s="276" t="s">
        <v>4</v>
      </c>
      <c r="H5" s="277"/>
      <c r="I5" s="277"/>
      <c r="J5" s="277"/>
      <c r="K5" s="277"/>
      <c r="L5" s="278"/>
    </row>
    <row r="6" spans="1:12" ht="98.25" customHeight="1" x14ac:dyDescent="0.25">
      <c r="A6" s="259"/>
      <c r="B6" s="259"/>
      <c r="C6" s="259"/>
      <c r="D6" s="273"/>
      <c r="E6" s="274"/>
      <c r="F6" s="275"/>
      <c r="G6" s="260" t="s">
        <v>233</v>
      </c>
      <c r="H6" s="269"/>
      <c r="I6" s="261"/>
      <c r="J6" s="260" t="s">
        <v>234</v>
      </c>
      <c r="K6" s="269"/>
      <c r="L6" s="261"/>
    </row>
    <row r="7" spans="1:12" ht="51" x14ac:dyDescent="0.25">
      <c r="A7" s="259"/>
      <c r="B7" s="259"/>
      <c r="C7" s="259"/>
      <c r="D7" s="21" t="s">
        <v>267</v>
      </c>
      <c r="E7" s="21" t="s">
        <v>268</v>
      </c>
      <c r="F7" s="21" t="s">
        <v>269</v>
      </c>
      <c r="G7" s="21" t="s">
        <v>219</v>
      </c>
      <c r="H7" s="21" t="s">
        <v>235</v>
      </c>
      <c r="I7" s="21" t="s">
        <v>236</v>
      </c>
      <c r="J7" s="21" t="s">
        <v>267</v>
      </c>
      <c r="K7" s="21" t="s">
        <v>268</v>
      </c>
      <c r="L7" s="21" t="s">
        <v>269</v>
      </c>
    </row>
    <row r="8" spans="1:12" x14ac:dyDescent="0.25">
      <c r="A8" s="117">
        <v>1</v>
      </c>
      <c r="B8" s="117">
        <v>2</v>
      </c>
      <c r="C8" s="117">
        <v>3</v>
      </c>
      <c r="D8" s="117">
        <v>4</v>
      </c>
      <c r="E8" s="117">
        <v>5</v>
      </c>
      <c r="F8" s="117">
        <v>6</v>
      </c>
      <c r="G8" s="117">
        <v>7</v>
      </c>
      <c r="H8" s="117">
        <v>8</v>
      </c>
      <c r="I8" s="117">
        <v>9</v>
      </c>
      <c r="J8" s="117">
        <v>10</v>
      </c>
      <c r="K8" s="117">
        <v>11</v>
      </c>
      <c r="L8" s="117">
        <v>12</v>
      </c>
    </row>
    <row r="9" spans="1:12" ht="25.5" x14ac:dyDescent="0.25">
      <c r="A9" s="44" t="s">
        <v>237</v>
      </c>
      <c r="B9" s="119" t="s">
        <v>238</v>
      </c>
      <c r="C9" s="119" t="s">
        <v>7</v>
      </c>
      <c r="D9" s="120">
        <f>J9</f>
        <v>23117137.02</v>
      </c>
      <c r="E9" s="120">
        <f t="shared" ref="E9:F9" si="0">K9</f>
        <v>20621207.670000002</v>
      </c>
      <c r="F9" s="120">
        <f t="shared" si="0"/>
        <v>21043656.149999999</v>
      </c>
      <c r="G9" s="45"/>
      <c r="H9" s="45"/>
      <c r="I9" s="45"/>
      <c r="J9" s="120">
        <f>'Стр.4-5'!D47</f>
        <v>23117137.02</v>
      </c>
      <c r="K9" s="120">
        <f>'2020 '!D47</f>
        <v>20621207.670000002</v>
      </c>
      <c r="L9" s="120">
        <f>'2021'!D47</f>
        <v>21043656.149999999</v>
      </c>
    </row>
    <row r="10" spans="1:12" x14ac:dyDescent="0.25">
      <c r="A10" s="25" t="s">
        <v>4</v>
      </c>
      <c r="B10" s="50"/>
      <c r="C10" s="50"/>
      <c r="D10" s="42"/>
      <c r="E10" s="42"/>
      <c r="F10" s="42"/>
      <c r="G10" s="42"/>
      <c r="H10" s="42"/>
      <c r="I10" s="42"/>
      <c r="J10" s="42"/>
      <c r="K10" s="42"/>
      <c r="L10" s="42"/>
    </row>
    <row r="11" spans="1:12" ht="25.5" x14ac:dyDescent="0.25">
      <c r="A11" s="26" t="s">
        <v>239</v>
      </c>
      <c r="B11" s="50">
        <v>1001</v>
      </c>
      <c r="C11" s="50" t="s">
        <v>7</v>
      </c>
      <c r="D11" s="76">
        <f>J11</f>
        <v>9760384.9499999993</v>
      </c>
      <c r="E11" s="76"/>
      <c r="F11" s="76"/>
      <c r="G11" s="42"/>
      <c r="H11" s="42"/>
      <c r="I11" s="42"/>
      <c r="J11" s="76">
        <v>9760384.9499999993</v>
      </c>
      <c r="K11" s="76"/>
      <c r="L11" s="76"/>
    </row>
    <row r="12" spans="1:12" x14ac:dyDescent="0.25">
      <c r="A12" s="26"/>
      <c r="B12" s="50"/>
      <c r="C12" s="50"/>
      <c r="D12" s="42"/>
      <c r="E12" s="42"/>
      <c r="F12" s="42"/>
      <c r="G12" s="42"/>
      <c r="H12" s="42"/>
      <c r="I12" s="42"/>
      <c r="J12" s="76"/>
      <c r="K12" s="42"/>
      <c r="L12" s="42"/>
    </row>
    <row r="13" spans="1:12" ht="25.5" x14ac:dyDescent="0.25">
      <c r="A13" s="26" t="s">
        <v>240</v>
      </c>
      <c r="B13" s="50">
        <v>2001</v>
      </c>
      <c r="C13" s="50"/>
      <c r="D13" s="76">
        <f>J13</f>
        <v>13356752.07</v>
      </c>
      <c r="E13" s="76">
        <f>K13</f>
        <v>20621207.670000002</v>
      </c>
      <c r="F13" s="76">
        <f>L13</f>
        <v>21043656.149999999</v>
      </c>
      <c r="G13" s="42"/>
      <c r="H13" s="42"/>
      <c r="I13" s="42"/>
      <c r="J13" s="76">
        <f>J9-J11</f>
        <v>13356752.07</v>
      </c>
      <c r="K13" s="76">
        <f>K9-K11</f>
        <v>20621207.670000002</v>
      </c>
      <c r="L13" s="76">
        <f>L9-L11</f>
        <v>21043656.149999999</v>
      </c>
    </row>
    <row r="14" spans="1:12" x14ac:dyDescent="0.25">
      <c r="A14" s="26"/>
      <c r="B14" s="50"/>
      <c r="C14" s="50"/>
      <c r="D14" s="42"/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268" t="s">
        <v>241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</row>
    <row r="20" spans="11:11" x14ac:dyDescent="0.25">
      <c r="K20" s="116"/>
    </row>
  </sheetData>
  <mergeCells count="11">
    <mergeCell ref="A15:L15"/>
    <mergeCell ref="A1:L1"/>
    <mergeCell ref="A2:L2"/>
    <mergeCell ref="A4:A7"/>
    <mergeCell ref="B4:B7"/>
    <mergeCell ref="C4:C7"/>
    <mergeCell ref="D4:L4"/>
    <mergeCell ref="D5:F6"/>
    <mergeCell ref="G5:L5"/>
    <mergeCell ref="G6:I6"/>
    <mergeCell ref="J6:L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zoomScaleNormal="100" zoomScaleSheetLayoutView="80" workbookViewId="0">
      <selection activeCell="S17" sqref="S17"/>
    </sheetView>
  </sheetViews>
  <sheetFormatPr defaultColWidth="9.140625" defaultRowHeight="12.75" x14ac:dyDescent="0.25"/>
  <cols>
    <col min="1" max="1" width="45" style="2" customWidth="1"/>
    <col min="2" max="2" width="12.140625" style="18" customWidth="1"/>
    <col min="3" max="3" width="31.7109375" style="18" customWidth="1"/>
    <col min="4" max="16384" width="9.140625" style="18"/>
  </cols>
  <sheetData>
    <row r="1" spans="1:3" ht="30.75" customHeight="1" x14ac:dyDescent="0.25">
      <c r="A1" s="263" t="s">
        <v>142</v>
      </c>
      <c r="B1" s="263"/>
      <c r="C1" s="263"/>
    </row>
    <row r="2" spans="1:3" x14ac:dyDescent="0.25">
      <c r="A2" s="279" t="s">
        <v>296</v>
      </c>
      <c r="B2" s="279"/>
      <c r="C2" s="279"/>
    </row>
    <row r="3" spans="1:3" x14ac:dyDescent="0.25">
      <c r="A3" s="279"/>
      <c r="B3" s="279"/>
      <c r="C3" s="279"/>
    </row>
    <row r="4" spans="1:3" x14ac:dyDescent="0.25">
      <c r="A4" s="22"/>
      <c r="B4" s="23"/>
      <c r="C4" s="23"/>
    </row>
    <row r="5" spans="1:3" ht="35.25" customHeight="1" x14ac:dyDescent="0.25">
      <c r="A5" s="20" t="s">
        <v>0</v>
      </c>
      <c r="B5" s="19" t="s">
        <v>1</v>
      </c>
      <c r="C5" s="20" t="s">
        <v>11</v>
      </c>
    </row>
    <row r="6" spans="1:3" x14ac:dyDescent="0.25">
      <c r="A6" s="46">
        <v>1</v>
      </c>
      <c r="B6" s="42">
        <v>2</v>
      </c>
      <c r="C6" s="42">
        <v>3</v>
      </c>
    </row>
    <row r="7" spans="1:3" x14ac:dyDescent="0.25">
      <c r="A7" s="26" t="s">
        <v>9</v>
      </c>
      <c r="B7" s="50" t="s">
        <v>12</v>
      </c>
      <c r="C7" s="76">
        <v>280320</v>
      </c>
    </row>
    <row r="8" spans="1:3" x14ac:dyDescent="0.25">
      <c r="A8" s="26" t="s">
        <v>10</v>
      </c>
      <c r="B8" s="50" t="s">
        <v>14</v>
      </c>
      <c r="C8" s="76">
        <f>C7+C9-C11</f>
        <v>227760</v>
      </c>
    </row>
    <row r="9" spans="1:3" x14ac:dyDescent="0.25">
      <c r="A9" s="26" t="s">
        <v>13</v>
      </c>
      <c r="B9" s="50" t="s">
        <v>15</v>
      </c>
      <c r="C9" s="76">
        <f>227760</f>
        <v>227760</v>
      </c>
    </row>
    <row r="10" spans="1:3" x14ac:dyDescent="0.25">
      <c r="A10" s="26"/>
      <c r="B10" s="50"/>
      <c r="C10" s="76"/>
    </row>
    <row r="11" spans="1:3" x14ac:dyDescent="0.25">
      <c r="A11" s="26" t="s">
        <v>16</v>
      </c>
      <c r="B11" s="50" t="s">
        <v>17</v>
      </c>
      <c r="C11" s="76">
        <f>280320</f>
        <v>280320</v>
      </c>
    </row>
    <row r="12" spans="1:3" x14ac:dyDescent="0.25">
      <c r="A12" s="26"/>
      <c r="B12" s="50"/>
      <c r="C12" s="42"/>
    </row>
    <row r="13" spans="1:3" x14ac:dyDescent="0.25">
      <c r="A13" s="48"/>
      <c r="B13" s="51"/>
      <c r="C13" s="49"/>
    </row>
    <row r="14" spans="1:3" x14ac:dyDescent="0.25">
      <c r="A14" s="48"/>
      <c r="B14" s="51"/>
      <c r="C14" s="49"/>
    </row>
    <row r="15" spans="1:3" ht="15" customHeight="1" x14ac:dyDescent="0.25">
      <c r="A15" s="280" t="s">
        <v>95</v>
      </c>
      <c r="B15" s="280"/>
      <c r="C15" s="280"/>
    </row>
    <row r="16" spans="1:3" x14ac:dyDescent="0.25">
      <c r="A16" s="48"/>
      <c r="B16" s="49"/>
      <c r="C16" s="49"/>
    </row>
    <row r="17" spans="1:3" ht="25.5" customHeight="1" x14ac:dyDescent="0.25">
      <c r="A17" s="47" t="s">
        <v>0</v>
      </c>
      <c r="B17" s="45" t="s">
        <v>1</v>
      </c>
      <c r="C17" s="47" t="s">
        <v>61</v>
      </c>
    </row>
    <row r="18" spans="1:3" x14ac:dyDescent="0.25">
      <c r="A18" s="46">
        <v>1</v>
      </c>
      <c r="B18" s="42">
        <v>2</v>
      </c>
      <c r="C18" s="42">
        <v>3</v>
      </c>
    </row>
    <row r="19" spans="1:3" ht="24.75" customHeight="1" x14ac:dyDescent="0.25">
      <c r="A19" s="26" t="s">
        <v>18</v>
      </c>
      <c r="B19" s="50" t="s">
        <v>12</v>
      </c>
      <c r="C19" s="76">
        <v>0</v>
      </c>
    </row>
    <row r="20" spans="1:3" ht="89.25" customHeight="1" x14ac:dyDescent="0.25">
      <c r="A20" s="26" t="s">
        <v>19</v>
      </c>
      <c r="B20" s="50" t="s">
        <v>14</v>
      </c>
      <c r="C20" s="76">
        <v>0</v>
      </c>
    </row>
    <row r="21" spans="1:3" ht="44.25" customHeight="1" x14ac:dyDescent="0.25">
      <c r="A21" s="26" t="s">
        <v>20</v>
      </c>
      <c r="B21" s="50" t="s">
        <v>15</v>
      </c>
      <c r="C21" s="76">
        <v>0</v>
      </c>
    </row>
    <row r="22" spans="1:3" ht="45.75" customHeight="1" x14ac:dyDescent="0.25">
      <c r="A22" s="268"/>
      <c r="B22" s="268"/>
      <c r="C22" s="268"/>
    </row>
  </sheetData>
  <mergeCells count="5">
    <mergeCell ref="A22:C22"/>
    <mergeCell ref="A1:C1"/>
    <mergeCell ref="A2:C2"/>
    <mergeCell ref="A3:C3"/>
    <mergeCell ref="A15:C15"/>
  </mergeCells>
  <pageMargins left="0.7" right="0.7" top="0.75" bottom="0.75" header="0.3" footer="0.3"/>
  <pageSetup paperSize="9" scale="9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DA77"/>
  <sheetViews>
    <sheetView view="pageBreakPreview" zoomScale="90" zoomScaleNormal="130" zoomScaleSheetLayoutView="90" workbookViewId="0">
      <selection activeCell="F12" sqref="F12"/>
    </sheetView>
  </sheetViews>
  <sheetFormatPr defaultColWidth="9.140625" defaultRowHeight="12.75" x14ac:dyDescent="0.25"/>
  <cols>
    <col min="1" max="1" width="37.140625" style="18" customWidth="1"/>
    <col min="2" max="2" width="10.42578125" style="18" customWidth="1"/>
    <col min="3" max="3" width="11.5703125" style="18" hidden="1" customWidth="1"/>
    <col min="4" max="4" width="12.85546875" style="18" customWidth="1"/>
    <col min="5" max="5" width="12.28515625" style="18" hidden="1" customWidth="1"/>
    <col min="6" max="6" width="11.5703125" style="49" customWidth="1"/>
    <col min="7" max="8" width="10.85546875" style="18" customWidth="1"/>
    <col min="9" max="9" width="26.85546875" style="18" customWidth="1"/>
    <col min="10" max="16384" width="9.140625" style="18"/>
  </cols>
  <sheetData>
    <row r="1" spans="1:105" ht="25.5" customHeight="1" x14ac:dyDescent="0.25">
      <c r="A1" s="281" t="s">
        <v>128</v>
      </c>
      <c r="B1" s="281"/>
      <c r="C1" s="281"/>
      <c r="D1" s="281"/>
      <c r="E1" s="281"/>
      <c r="F1" s="281"/>
      <c r="G1" s="281"/>
      <c r="H1" s="28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</row>
    <row r="2" spans="1:105" x14ac:dyDescent="0.25">
      <c r="A2" s="282" t="s">
        <v>289</v>
      </c>
      <c r="B2" s="282"/>
      <c r="C2" s="282"/>
      <c r="D2" s="282"/>
      <c r="E2" s="282"/>
      <c r="F2" s="282"/>
      <c r="G2" s="282"/>
      <c r="H2" s="282"/>
    </row>
    <row r="3" spans="1:105" x14ac:dyDescent="0.25">
      <c r="A3" s="150"/>
      <c r="B3" s="150"/>
      <c r="C3" s="150"/>
      <c r="D3" s="150"/>
    </row>
    <row r="4" spans="1:105" ht="91.5" customHeight="1" x14ac:dyDescent="0.25">
      <c r="A4" s="21" t="s">
        <v>0</v>
      </c>
      <c r="B4" s="21" t="s">
        <v>96</v>
      </c>
      <c r="C4" s="21" t="s">
        <v>227</v>
      </c>
      <c r="D4" s="46" t="s">
        <v>273</v>
      </c>
      <c r="E4" s="21" t="s">
        <v>219</v>
      </c>
      <c r="F4" s="46" t="s">
        <v>274</v>
      </c>
      <c r="G4" s="46" t="s">
        <v>276</v>
      </c>
      <c r="H4" s="46" t="s">
        <v>275</v>
      </c>
      <c r="I4" s="143"/>
    </row>
    <row r="5" spans="1:105" x14ac:dyDescent="0.25">
      <c r="A5" s="27">
        <v>1</v>
      </c>
      <c r="B5" s="27">
        <v>2</v>
      </c>
      <c r="C5" s="27">
        <v>3</v>
      </c>
      <c r="D5" s="42">
        <v>4</v>
      </c>
      <c r="E5" s="149"/>
      <c r="F5" s="42">
        <v>4</v>
      </c>
      <c r="G5" s="42">
        <v>5</v>
      </c>
      <c r="H5" s="42">
        <v>6</v>
      </c>
    </row>
    <row r="6" spans="1:105" ht="25.5" x14ac:dyDescent="0.25">
      <c r="A6" s="44" t="s">
        <v>109</v>
      </c>
      <c r="B6" s="47" t="s">
        <v>7</v>
      </c>
      <c r="C6" s="47" t="s">
        <v>7</v>
      </c>
      <c r="D6" s="42"/>
      <c r="E6" s="149"/>
      <c r="F6" s="42"/>
      <c r="G6" s="129"/>
      <c r="H6" s="129"/>
    </row>
    <row r="7" spans="1:105" ht="18" customHeight="1" x14ac:dyDescent="0.25">
      <c r="A7" s="26" t="s">
        <v>226</v>
      </c>
      <c r="B7" s="46" t="s">
        <v>98</v>
      </c>
      <c r="C7" s="81">
        <f t="shared" ref="C7:E8" si="0">C10+C12</f>
        <v>23315.42</v>
      </c>
      <c r="D7" s="81">
        <f>(55692321.23+110536.2)/1000</f>
        <v>55802.857429999996</v>
      </c>
      <c r="E7" s="81">
        <f t="shared" si="0"/>
        <v>0</v>
      </c>
      <c r="F7" s="152">
        <f>(53526411.2+2699447.85+156117.5)/1000+110150/1000</f>
        <v>56492.126550000008</v>
      </c>
      <c r="G7" s="142">
        <f>57063824.62/1000</f>
        <v>57063.824619999999</v>
      </c>
      <c r="H7" s="142">
        <f>57509629.61/1000</f>
        <v>57509.629609999996</v>
      </c>
      <c r="J7" s="116"/>
    </row>
    <row r="8" spans="1:105" ht="25.5" x14ac:dyDescent="0.25">
      <c r="A8" s="25" t="s">
        <v>165</v>
      </c>
      <c r="B8" s="46" t="s">
        <v>98</v>
      </c>
      <c r="C8" s="81">
        <f t="shared" si="0"/>
        <v>7108.01</v>
      </c>
      <c r="D8" s="81">
        <f>D7*30%</f>
        <v>16740.857228999997</v>
      </c>
      <c r="E8" s="81">
        <f t="shared" ca="1" si="0"/>
        <v>0</v>
      </c>
      <c r="F8" s="152">
        <f>F7*30%</f>
        <v>16947.637965000002</v>
      </c>
      <c r="G8" s="142">
        <f t="shared" ref="G8:H8" si="1">G7*30%</f>
        <v>17119.147386000001</v>
      </c>
      <c r="H8" s="142">
        <f t="shared" si="1"/>
        <v>17252.888883</v>
      </c>
    </row>
    <row r="9" spans="1:105" x14ac:dyDescent="0.25">
      <c r="A9" s="25" t="s">
        <v>4</v>
      </c>
      <c r="B9" s="46"/>
      <c r="C9" s="46"/>
      <c r="D9" s="42"/>
      <c r="E9" s="149"/>
      <c r="F9" s="129"/>
      <c r="G9" s="129"/>
      <c r="H9" s="129"/>
    </row>
    <row r="10" spans="1:105" ht="45" customHeight="1" x14ac:dyDescent="0.25">
      <c r="A10" s="25" t="s">
        <v>220</v>
      </c>
      <c r="B10" s="46" t="s">
        <v>98</v>
      </c>
      <c r="C10" s="81">
        <v>2876.89</v>
      </c>
      <c r="D10" s="78">
        <f>5527149.5/1000</f>
        <v>5527.1495000000004</v>
      </c>
      <c r="E10" s="149"/>
      <c r="F10" s="153">
        <f>3816272.7/1000</f>
        <v>3816.2727</v>
      </c>
      <c r="G10" s="86">
        <f t="shared" ref="G10:H10" si="2">3722435.46/1000</f>
        <v>3722.4354600000001</v>
      </c>
      <c r="H10" s="86">
        <f t="shared" si="2"/>
        <v>3722.4354600000001</v>
      </c>
      <c r="I10" s="116"/>
    </row>
    <row r="11" spans="1:105" ht="25.5" x14ac:dyDescent="0.25">
      <c r="A11" s="25" t="s">
        <v>127</v>
      </c>
      <c r="B11" s="46" t="s">
        <v>98</v>
      </c>
      <c r="C11" s="80">
        <v>863.05</v>
      </c>
      <c r="D11" s="75">
        <f>71865.83*2.3*12/1000</f>
        <v>1983.4969079999998</v>
      </c>
      <c r="E11" s="112"/>
      <c r="F11" s="154">
        <f>50602.75*12*2.3/1000</f>
        <v>1396.6359</v>
      </c>
      <c r="G11" s="75">
        <f t="shared" ref="G11:H11" si="3">50575.85*12*2.3/1000</f>
        <v>1395.8934599999998</v>
      </c>
      <c r="H11" s="75">
        <f t="shared" si="3"/>
        <v>1395.8934599999998</v>
      </c>
      <c r="I11" s="116"/>
      <c r="J11" s="126"/>
    </row>
    <row r="12" spans="1:105" ht="26.25" customHeight="1" x14ac:dyDescent="0.25">
      <c r="A12" s="25" t="s">
        <v>103</v>
      </c>
      <c r="B12" s="46" t="s">
        <v>98</v>
      </c>
      <c r="C12" s="81">
        <f>20327.53+111</f>
        <v>20438.53</v>
      </c>
      <c r="D12" s="76">
        <f>D7-D10</f>
        <v>50275.707929999997</v>
      </c>
      <c r="E12" s="112"/>
      <c r="F12" s="154">
        <f>F7-F10</f>
        <v>52675.853850000007</v>
      </c>
      <c r="G12" s="75">
        <f>G7-G10</f>
        <v>53341.389159999999</v>
      </c>
      <c r="H12" s="75">
        <f>H7-H10</f>
        <v>53787.194149999996</v>
      </c>
      <c r="I12" s="116"/>
    </row>
    <row r="13" spans="1:105" ht="25.5" x14ac:dyDescent="0.25">
      <c r="A13" s="25" t="s">
        <v>127</v>
      </c>
      <c r="B13" s="46" t="s">
        <v>98</v>
      </c>
      <c r="C13" s="81">
        <v>6244.96</v>
      </c>
      <c r="D13" s="130">
        <f>D8-D11</f>
        <v>14757.360320999998</v>
      </c>
      <c r="E13" s="130">
        <f t="shared" ref="E13:H13" ca="1" si="4">E8-E11</f>
        <v>14757.360320999998</v>
      </c>
      <c r="F13" s="155">
        <f t="shared" si="4"/>
        <v>15551.002065000002</v>
      </c>
      <c r="G13" s="130">
        <f t="shared" si="4"/>
        <v>15723.253926000001</v>
      </c>
      <c r="H13" s="130">
        <f t="shared" si="4"/>
        <v>15856.995423</v>
      </c>
      <c r="K13" s="116"/>
    </row>
    <row r="14" spans="1:105" ht="63.75" x14ac:dyDescent="0.25">
      <c r="A14" s="26" t="s">
        <v>104</v>
      </c>
      <c r="B14" s="46" t="s">
        <v>98</v>
      </c>
      <c r="C14" s="81">
        <f t="shared" ref="C14" si="5">C16+C17+C19</f>
        <v>7359.2279999999992</v>
      </c>
      <c r="D14" s="81">
        <f>D16+D17+D19+D18</f>
        <v>21219.80085</v>
      </c>
      <c r="E14" s="81">
        <f t="shared" ref="E14:H14" si="6">E16+E17+E19+E18</f>
        <v>0</v>
      </c>
      <c r="F14" s="156">
        <f t="shared" si="6"/>
        <v>23376.600000000002</v>
      </c>
      <c r="G14" s="81">
        <f t="shared" si="6"/>
        <v>23816.836800000001</v>
      </c>
      <c r="H14" s="81">
        <f t="shared" si="6"/>
        <v>25259.032799999997</v>
      </c>
    </row>
    <row r="15" spans="1:105" x14ac:dyDescent="0.25">
      <c r="A15" s="25" t="s">
        <v>105</v>
      </c>
      <c r="B15" s="46"/>
      <c r="C15" s="46"/>
      <c r="D15" s="42"/>
      <c r="E15" s="149"/>
      <c r="F15" s="41"/>
      <c r="G15" s="129"/>
      <c r="H15" s="129"/>
    </row>
    <row r="16" spans="1:105" x14ac:dyDescent="0.25">
      <c r="A16" s="25" t="s">
        <v>167</v>
      </c>
      <c r="B16" s="46" t="s">
        <v>98</v>
      </c>
      <c r="C16" s="81">
        <f>4740+15.258+39.25</f>
        <v>4794.5079999999998</v>
      </c>
      <c r="D16" s="78">
        <f>(7859176.95+114000)/1000</f>
        <v>7973.17695</v>
      </c>
      <c r="E16" s="149"/>
      <c r="F16" s="157">
        <f>55500*12.7*12/1000</f>
        <v>8458.2000000000007</v>
      </c>
      <c r="G16" s="78">
        <f>8746296/1000</f>
        <v>8746.2960000000003</v>
      </c>
      <c r="H16" s="78">
        <f>9275916/1000</f>
        <v>9275.9159999999993</v>
      </c>
    </row>
    <row r="17" spans="1:12" x14ac:dyDescent="0.25">
      <c r="A17" s="25" t="s">
        <v>168</v>
      </c>
      <c r="B17" s="46" t="s">
        <v>98</v>
      </c>
      <c r="C17" s="81">
        <v>2025.4</v>
      </c>
      <c r="D17" s="78">
        <f>5347214.24/1000</f>
        <v>5347.2142400000002</v>
      </c>
      <c r="E17" s="149"/>
      <c r="F17" s="157">
        <f>55500*8*12/1000</f>
        <v>5328</v>
      </c>
      <c r="G17" s="78">
        <f>5382336/1000</f>
        <v>5382.3360000000002</v>
      </c>
      <c r="H17" s="78">
        <f>5708256/1000</f>
        <v>5708.2560000000003</v>
      </c>
    </row>
    <row r="18" spans="1:12" x14ac:dyDescent="0.25">
      <c r="A18" s="25" t="s">
        <v>271</v>
      </c>
      <c r="B18" s="46" t="s">
        <v>98</v>
      </c>
      <c r="C18" s="81">
        <v>0</v>
      </c>
      <c r="D18" s="81">
        <v>0</v>
      </c>
      <c r="E18" s="81">
        <v>0</v>
      </c>
      <c r="F18" s="156">
        <f>55500*2*12*0.2/1000</f>
        <v>266.39999999999998</v>
      </c>
      <c r="G18" s="80">
        <f>269116.8/1000</f>
        <v>269.11680000000001</v>
      </c>
      <c r="H18" s="80">
        <f>285412.8/1000</f>
        <v>285.4128</v>
      </c>
    </row>
    <row r="19" spans="1:12" x14ac:dyDescent="0.25">
      <c r="A19" s="25" t="s">
        <v>169</v>
      </c>
      <c r="B19" s="46" t="s">
        <v>98</v>
      </c>
      <c r="C19" s="81">
        <f>507.6+31.72</f>
        <v>539.32000000000005</v>
      </c>
      <c r="D19" s="130">
        <f>7899409.66/1000</f>
        <v>7899.4096600000003</v>
      </c>
      <c r="E19" s="149"/>
      <c r="F19" s="155">
        <f>55500*14*12/1000</f>
        <v>9324</v>
      </c>
      <c r="G19" s="78">
        <f>9419088/1000</f>
        <v>9419.0879999999997</v>
      </c>
      <c r="H19" s="78">
        <f>9989448/1000</f>
        <v>9989.4480000000003</v>
      </c>
    </row>
    <row r="20" spans="1:12" ht="25.5" x14ac:dyDescent="0.25">
      <c r="A20" s="26" t="s">
        <v>106</v>
      </c>
      <c r="B20" s="46" t="s">
        <v>97</v>
      </c>
      <c r="C20" s="46">
        <f>C23+C22</f>
        <v>67.399999999999991</v>
      </c>
      <c r="D20" s="46">
        <v>111.4</v>
      </c>
      <c r="E20" s="46">
        <f>E23+E22</f>
        <v>67.399999999999991</v>
      </c>
      <c r="F20" s="158">
        <v>100.2</v>
      </c>
      <c r="G20" s="140">
        <v>101.55</v>
      </c>
      <c r="H20" s="80">
        <v>101.55</v>
      </c>
      <c r="I20" s="283"/>
      <c r="J20" s="284"/>
      <c r="K20" s="284"/>
      <c r="L20" s="284"/>
    </row>
    <row r="21" spans="1:12" x14ac:dyDescent="0.25">
      <c r="A21" s="25" t="s">
        <v>4</v>
      </c>
      <c r="B21" s="46"/>
      <c r="C21" s="46"/>
      <c r="D21" s="42"/>
      <c r="E21" s="149"/>
      <c r="F21" s="41"/>
      <c r="G21" s="129"/>
      <c r="H21" s="129"/>
    </row>
    <row r="22" spans="1:12" ht="38.25" x14ac:dyDescent="0.25">
      <c r="A22" s="25" t="s">
        <v>255</v>
      </c>
      <c r="B22" s="46" t="s">
        <v>97</v>
      </c>
      <c r="C22" s="46">
        <v>3.3</v>
      </c>
      <c r="D22" s="46">
        <v>4.5999999999999996</v>
      </c>
      <c r="E22" s="46">
        <v>3.3</v>
      </c>
      <c r="F22" s="158">
        <v>3</v>
      </c>
      <c r="G22" s="140">
        <v>3</v>
      </c>
      <c r="H22" s="41">
        <v>3</v>
      </c>
    </row>
    <row r="23" spans="1:12" ht="38.25" x14ac:dyDescent="0.25">
      <c r="A23" s="25" t="s">
        <v>107</v>
      </c>
      <c r="B23" s="46" t="s">
        <v>97</v>
      </c>
      <c r="C23" s="46">
        <v>64.099999999999994</v>
      </c>
      <c r="D23" s="46">
        <f>D20-D22</f>
        <v>106.80000000000001</v>
      </c>
      <c r="E23" s="46">
        <v>64.099999999999994</v>
      </c>
      <c r="F23" s="158">
        <f>F20-F22</f>
        <v>97.2</v>
      </c>
      <c r="G23" s="140">
        <f t="shared" ref="G23:H23" si="7">G20-G22</f>
        <v>98.55</v>
      </c>
      <c r="H23" s="140">
        <f t="shared" si="7"/>
        <v>98.55</v>
      </c>
    </row>
    <row r="24" spans="1:12" ht="51" x14ac:dyDescent="0.25">
      <c r="A24" s="26" t="s">
        <v>121</v>
      </c>
      <c r="B24" s="46" t="s">
        <v>97</v>
      </c>
      <c r="C24" s="46">
        <v>49.7</v>
      </c>
      <c r="D24" s="46">
        <v>111.4</v>
      </c>
      <c r="E24" s="46">
        <v>49.7</v>
      </c>
      <c r="F24" s="158">
        <v>100.2</v>
      </c>
      <c r="G24" s="140">
        <v>101.55</v>
      </c>
      <c r="H24" s="140">
        <v>101.55</v>
      </c>
    </row>
    <row r="25" spans="1:12" x14ac:dyDescent="0.25">
      <c r="A25" s="25" t="s">
        <v>4</v>
      </c>
      <c r="B25" s="46"/>
      <c r="C25" s="46"/>
      <c r="D25" s="42"/>
      <c r="E25" s="149"/>
      <c r="F25" s="41"/>
      <c r="G25" s="41"/>
      <c r="H25" s="41"/>
    </row>
    <row r="26" spans="1:12" ht="63.75" x14ac:dyDescent="0.25">
      <c r="A26" s="25" t="s">
        <v>125</v>
      </c>
      <c r="B26" s="46" t="s">
        <v>97</v>
      </c>
      <c r="C26" s="46">
        <v>3</v>
      </c>
      <c r="D26" s="46">
        <v>4.5999999999999996</v>
      </c>
      <c r="E26" s="46">
        <v>3</v>
      </c>
      <c r="F26" s="158">
        <v>3</v>
      </c>
      <c r="G26" s="140">
        <v>3</v>
      </c>
      <c r="H26" s="140">
        <v>3</v>
      </c>
    </row>
    <row r="27" spans="1:12" ht="51" x14ac:dyDescent="0.25">
      <c r="A27" s="25" t="s">
        <v>126</v>
      </c>
      <c r="B27" s="46" t="s">
        <v>97</v>
      </c>
      <c r="C27" s="46">
        <v>46</v>
      </c>
      <c r="D27" s="46">
        <v>106.9</v>
      </c>
      <c r="E27" s="46">
        <v>46</v>
      </c>
      <c r="F27" s="158">
        <f>F24-F26</f>
        <v>97.2</v>
      </c>
      <c r="G27" s="140">
        <v>98.55</v>
      </c>
      <c r="H27" s="140">
        <v>98.55</v>
      </c>
    </row>
    <row r="28" spans="1:12" ht="63.75" x14ac:dyDescent="0.25">
      <c r="A28" s="26" t="s">
        <v>122</v>
      </c>
      <c r="B28" s="46" t="s">
        <v>97</v>
      </c>
      <c r="C28" s="84">
        <f t="shared" ref="C28:E28" si="8">C30+C31+C33</f>
        <v>17.899999999999999</v>
      </c>
      <c r="D28" s="84">
        <f t="shared" si="8"/>
        <v>34.799999999999997</v>
      </c>
      <c r="E28" s="84">
        <f t="shared" si="8"/>
        <v>17.899999999999999</v>
      </c>
      <c r="F28" s="159">
        <f>F30+F31+F33+F32</f>
        <v>34.900000000000006</v>
      </c>
      <c r="G28" s="141">
        <f>G30+G31+G33+G32</f>
        <v>35.200000000000003</v>
      </c>
      <c r="H28" s="141">
        <f>H30+H31+H33+H32</f>
        <v>35.200000000000003</v>
      </c>
    </row>
    <row r="29" spans="1:12" x14ac:dyDescent="0.25">
      <c r="A29" s="25" t="s">
        <v>105</v>
      </c>
      <c r="B29" s="46"/>
      <c r="C29" s="46"/>
      <c r="D29" s="42"/>
      <c r="E29" s="149"/>
      <c r="F29" s="41"/>
      <c r="G29" s="129"/>
      <c r="H29" s="129"/>
    </row>
    <row r="30" spans="1:12" x14ac:dyDescent="0.25">
      <c r="A30" s="25" t="s">
        <v>167</v>
      </c>
      <c r="B30" s="46" t="s">
        <v>97</v>
      </c>
      <c r="C30" s="46">
        <v>11.9</v>
      </c>
      <c r="D30" s="46">
        <v>13.1</v>
      </c>
      <c r="E30" s="46">
        <v>11.9</v>
      </c>
      <c r="F30" s="158">
        <v>12.7</v>
      </c>
      <c r="G30" s="140">
        <v>13</v>
      </c>
      <c r="H30" s="140">
        <v>13</v>
      </c>
    </row>
    <row r="31" spans="1:12" x14ac:dyDescent="0.25">
      <c r="A31" s="25" t="s">
        <v>168</v>
      </c>
      <c r="B31" s="46" t="s">
        <v>97</v>
      </c>
      <c r="C31" s="46">
        <v>4.5</v>
      </c>
      <c r="D31" s="46">
        <v>8.6999999999999993</v>
      </c>
      <c r="E31" s="46">
        <v>4.5</v>
      </c>
      <c r="F31" s="158">
        <v>8</v>
      </c>
      <c r="G31" s="140">
        <v>8</v>
      </c>
      <c r="H31" s="140">
        <v>8</v>
      </c>
    </row>
    <row r="32" spans="1:12" x14ac:dyDescent="0.25">
      <c r="A32" s="25" t="s">
        <v>271</v>
      </c>
      <c r="B32" s="46" t="s">
        <v>97</v>
      </c>
      <c r="C32" s="46">
        <v>0</v>
      </c>
      <c r="D32" s="46">
        <v>0</v>
      </c>
      <c r="E32" s="46">
        <v>0</v>
      </c>
      <c r="F32" s="158">
        <v>0.2</v>
      </c>
      <c r="G32" s="140">
        <v>0.2</v>
      </c>
      <c r="H32" s="140">
        <v>0.2</v>
      </c>
    </row>
    <row r="33" spans="1:11" x14ac:dyDescent="0.25">
      <c r="A33" s="25" t="s">
        <v>169</v>
      </c>
      <c r="B33" s="46" t="s">
        <v>97</v>
      </c>
      <c r="C33" s="46">
        <v>1.5</v>
      </c>
      <c r="D33" s="46">
        <v>13</v>
      </c>
      <c r="E33" s="46">
        <v>1.5</v>
      </c>
      <c r="F33" s="158">
        <v>14</v>
      </c>
      <c r="G33" s="140">
        <v>14</v>
      </c>
      <c r="H33" s="140">
        <v>14</v>
      </c>
    </row>
    <row r="34" spans="1:11" ht="63.75" x14ac:dyDescent="0.25">
      <c r="A34" s="26" t="s">
        <v>123</v>
      </c>
      <c r="B34" s="46" t="s">
        <v>99</v>
      </c>
      <c r="C34" s="81">
        <v>42500</v>
      </c>
      <c r="D34" s="76">
        <v>52200</v>
      </c>
      <c r="E34" s="149"/>
      <c r="F34" s="160">
        <v>55500</v>
      </c>
      <c r="G34" s="76">
        <v>57800</v>
      </c>
      <c r="H34" s="76">
        <v>61300</v>
      </c>
    </row>
    <row r="35" spans="1:11" ht="38.25" x14ac:dyDescent="0.25">
      <c r="A35" s="26" t="s">
        <v>124</v>
      </c>
      <c r="B35" s="46" t="s">
        <v>99</v>
      </c>
      <c r="C35" s="46" t="s">
        <v>7</v>
      </c>
      <c r="D35" s="42" t="s">
        <v>7</v>
      </c>
      <c r="E35" s="149"/>
      <c r="F35" s="42" t="s">
        <v>7</v>
      </c>
      <c r="G35" s="42" t="s">
        <v>7</v>
      </c>
      <c r="H35" s="42"/>
    </row>
    <row r="36" spans="1:11" ht="52.5" customHeight="1" x14ac:dyDescent="0.25">
      <c r="A36" s="25" t="s">
        <v>223</v>
      </c>
      <c r="B36" s="46"/>
      <c r="C36" s="46"/>
      <c r="D36" s="42"/>
      <c r="E36" s="149"/>
      <c r="F36" s="41"/>
      <c r="G36" s="42"/>
      <c r="H36" s="129"/>
    </row>
    <row r="37" spans="1:11" x14ac:dyDescent="0.25">
      <c r="A37" s="25" t="s">
        <v>167</v>
      </c>
      <c r="B37" s="46" t="s">
        <v>99</v>
      </c>
      <c r="C37" s="81">
        <v>33575</v>
      </c>
      <c r="D37" s="76">
        <v>50697.919999999998</v>
      </c>
      <c r="E37" s="149"/>
      <c r="F37" s="160">
        <v>55500</v>
      </c>
      <c r="G37" s="76">
        <v>56066</v>
      </c>
      <c r="H37" s="76">
        <v>59461</v>
      </c>
    </row>
    <row r="38" spans="1:11" x14ac:dyDescent="0.25">
      <c r="A38" s="25" t="s">
        <v>168</v>
      </c>
      <c r="B38" s="46" t="s">
        <v>99</v>
      </c>
      <c r="C38" s="81">
        <v>37507.5</v>
      </c>
      <c r="D38" s="76">
        <f>5347214.24/8.7/12</f>
        <v>51218.527203065139</v>
      </c>
      <c r="E38" s="149"/>
      <c r="F38" s="160">
        <v>55500</v>
      </c>
      <c r="G38" s="76">
        <v>56066</v>
      </c>
      <c r="H38" s="76">
        <v>59461</v>
      </c>
    </row>
    <row r="39" spans="1:11" x14ac:dyDescent="0.25">
      <c r="A39" s="25" t="s">
        <v>271</v>
      </c>
      <c r="B39" s="46" t="s">
        <v>99</v>
      </c>
      <c r="C39" s="46">
        <v>0</v>
      </c>
      <c r="D39" s="46">
        <v>0</v>
      </c>
      <c r="E39" s="46">
        <v>0</v>
      </c>
      <c r="F39" s="161">
        <f>55500*2</f>
        <v>111000</v>
      </c>
      <c r="G39" s="146">
        <v>112132</v>
      </c>
      <c r="H39" s="146">
        <v>118922</v>
      </c>
    </row>
    <row r="40" spans="1:11" ht="18" customHeight="1" x14ac:dyDescent="0.25">
      <c r="A40" s="25" t="s">
        <v>169</v>
      </c>
      <c r="B40" s="46" t="s">
        <v>99</v>
      </c>
      <c r="C40" s="81">
        <v>29962.5</v>
      </c>
      <c r="D40" s="76">
        <f>7899409.66/13/12</f>
        <v>50637.241410256414</v>
      </c>
      <c r="E40" s="149"/>
      <c r="F40" s="160">
        <v>55500</v>
      </c>
      <c r="G40" s="76">
        <v>56066</v>
      </c>
      <c r="H40" s="76">
        <v>59461</v>
      </c>
    </row>
    <row r="41" spans="1:11" ht="63.75" x14ac:dyDescent="0.25">
      <c r="A41" s="26" t="s">
        <v>224</v>
      </c>
      <c r="B41" s="46" t="s">
        <v>100</v>
      </c>
      <c r="C41" s="83">
        <f>79913.61/25270.19*100</f>
        <v>316.23668045234325</v>
      </c>
      <c r="D41" s="83">
        <f>(D10/D22/12)/(D7/D24/12)*100</f>
        <v>239.86789996737713</v>
      </c>
      <c r="E41" s="83" t="e">
        <f t="shared" ref="E41:H41" si="9">(E10/E22/12)/(E7/E24/12)*100</f>
        <v>#DIV/0!</v>
      </c>
      <c r="F41" s="162">
        <f t="shared" si="9"/>
        <v>225.63057184116565</v>
      </c>
      <c r="G41" s="83">
        <f t="shared" si="9"/>
        <v>220.81317044570716</v>
      </c>
      <c r="H41" s="83">
        <f t="shared" si="9"/>
        <v>219.10146383396261</v>
      </c>
    </row>
    <row r="42" spans="1:11" ht="63.75" x14ac:dyDescent="0.25">
      <c r="A42" s="26" t="s">
        <v>225</v>
      </c>
      <c r="B42" s="46" t="s">
        <v>100</v>
      </c>
      <c r="C42" s="46" t="s">
        <v>7</v>
      </c>
      <c r="D42" s="41" t="s">
        <v>7</v>
      </c>
      <c r="E42" s="144"/>
      <c r="F42" s="41" t="s">
        <v>7</v>
      </c>
      <c r="G42" s="41" t="s">
        <v>7</v>
      </c>
      <c r="H42" s="41" t="s">
        <v>7</v>
      </c>
    </row>
    <row r="43" spans="1:11" ht="38.25" x14ac:dyDescent="0.25">
      <c r="A43" s="25" t="s">
        <v>108</v>
      </c>
      <c r="B43" s="46"/>
      <c r="C43" s="46"/>
      <c r="D43" s="42"/>
      <c r="E43" s="149"/>
      <c r="F43" s="129"/>
      <c r="G43" s="129"/>
      <c r="H43" s="129"/>
      <c r="K43" s="113"/>
    </row>
    <row r="44" spans="1:11" x14ac:dyDescent="0.25">
      <c r="A44" s="25" t="s">
        <v>167</v>
      </c>
      <c r="B44" s="46" t="s">
        <v>100</v>
      </c>
      <c r="C44" s="84">
        <f t="shared" ref="C44:H44" si="10">C37/C34*100</f>
        <v>79</v>
      </c>
      <c r="D44" s="84">
        <f t="shared" si="10"/>
        <v>97.122452107279685</v>
      </c>
      <c r="E44" s="84" t="e">
        <f t="shared" si="10"/>
        <v>#DIV/0!</v>
      </c>
      <c r="F44" s="159">
        <f>F37/F34*100</f>
        <v>100</v>
      </c>
      <c r="G44" s="141">
        <f t="shared" si="10"/>
        <v>97</v>
      </c>
      <c r="H44" s="141">
        <f t="shared" si="10"/>
        <v>97</v>
      </c>
    </row>
    <row r="45" spans="1:11" x14ac:dyDescent="0.25">
      <c r="A45" s="25" t="s">
        <v>168</v>
      </c>
      <c r="B45" s="46" t="s">
        <v>100</v>
      </c>
      <c r="C45" s="84">
        <f t="shared" ref="C45:H45" si="11">C38/C34*100</f>
        <v>88.252941176470586</v>
      </c>
      <c r="D45" s="84">
        <f t="shared" si="11"/>
        <v>98.119783913917885</v>
      </c>
      <c r="E45" s="84" t="e">
        <f t="shared" si="11"/>
        <v>#DIV/0!</v>
      </c>
      <c r="F45" s="159">
        <f t="shared" si="11"/>
        <v>100</v>
      </c>
      <c r="G45" s="141">
        <f t="shared" si="11"/>
        <v>97</v>
      </c>
      <c r="H45" s="141">
        <f t="shared" si="11"/>
        <v>97</v>
      </c>
    </row>
    <row r="46" spans="1:11" x14ac:dyDescent="0.25">
      <c r="A46" s="25" t="s">
        <v>271</v>
      </c>
      <c r="B46" s="46" t="s">
        <v>100</v>
      </c>
      <c r="C46" s="80">
        <v>0</v>
      </c>
      <c r="D46" s="80">
        <v>0</v>
      </c>
      <c r="E46" s="80">
        <v>0</v>
      </c>
      <c r="F46" s="163">
        <f>F39/F34*100</f>
        <v>200</v>
      </c>
      <c r="G46" s="80">
        <f t="shared" ref="G46:H46" si="12">G39/G34*100</f>
        <v>194</v>
      </c>
      <c r="H46" s="80">
        <f t="shared" si="12"/>
        <v>194</v>
      </c>
    </row>
    <row r="47" spans="1:11" x14ac:dyDescent="0.25">
      <c r="A47" s="25" t="s">
        <v>169</v>
      </c>
      <c r="B47" s="46" t="s">
        <v>100</v>
      </c>
      <c r="C47" s="84">
        <f t="shared" ref="C47:H47" si="13">C40/C34*100</f>
        <v>70.5</v>
      </c>
      <c r="D47" s="84">
        <f t="shared" si="13"/>
        <v>97.006209598192356</v>
      </c>
      <c r="E47" s="84" t="e">
        <f t="shared" si="13"/>
        <v>#DIV/0!</v>
      </c>
      <c r="F47" s="159">
        <f t="shared" si="13"/>
        <v>100</v>
      </c>
      <c r="G47" s="141">
        <f t="shared" si="13"/>
        <v>97</v>
      </c>
      <c r="H47" s="141">
        <f t="shared" si="13"/>
        <v>97</v>
      </c>
    </row>
    <row r="48" spans="1:11" ht="25.5" x14ac:dyDescent="0.25">
      <c r="A48" s="44" t="s">
        <v>110</v>
      </c>
      <c r="B48" s="47" t="s">
        <v>7</v>
      </c>
      <c r="C48" s="47" t="s">
        <v>7</v>
      </c>
      <c r="D48" s="42"/>
      <c r="E48" s="149"/>
      <c r="F48" s="129"/>
      <c r="G48" s="139"/>
      <c r="H48" s="139"/>
    </row>
    <row r="49" spans="1:8" ht="38.25" x14ac:dyDescent="0.25">
      <c r="A49" s="26" t="s">
        <v>111</v>
      </c>
      <c r="B49" s="46" t="s">
        <v>102</v>
      </c>
      <c r="C49" s="46">
        <v>2444.5</v>
      </c>
      <c r="D49" s="46">
        <f>1917.1+266.4+1149+1564.4</f>
        <v>4896.8999999999996</v>
      </c>
      <c r="E49" s="46">
        <f t="shared" ref="E49:F49" si="14">1917.1+266.4+1149+1564.4</f>
        <v>4896.8999999999996</v>
      </c>
      <c r="F49" s="46">
        <f t="shared" si="14"/>
        <v>4896.8999999999996</v>
      </c>
      <c r="G49" s="46">
        <f>1917.1+266.4+1149</f>
        <v>3332.5</v>
      </c>
      <c r="H49" s="46">
        <f>1917.1+266.4+1149</f>
        <v>3332.5</v>
      </c>
    </row>
    <row r="50" spans="1:8" x14ac:dyDescent="0.25">
      <c r="A50" s="25" t="s">
        <v>4</v>
      </c>
      <c r="B50" s="46"/>
      <c r="C50" s="46"/>
      <c r="D50" s="42"/>
      <c r="E50" s="149"/>
      <c r="F50" s="129"/>
      <c r="G50" s="139"/>
      <c r="H50" s="139"/>
    </row>
    <row r="51" spans="1:8" ht="33" customHeight="1" x14ac:dyDescent="0.25">
      <c r="A51" s="25" t="s">
        <v>112</v>
      </c>
      <c r="B51" s="46" t="s">
        <v>102</v>
      </c>
      <c r="C51" s="46"/>
      <c r="D51" s="42"/>
      <c r="E51" s="149"/>
      <c r="F51" s="129"/>
      <c r="G51" s="139"/>
      <c r="H51" s="139"/>
    </row>
    <row r="52" spans="1:8" ht="51" x14ac:dyDescent="0.25">
      <c r="A52" s="25" t="s">
        <v>113</v>
      </c>
      <c r="B52" s="46" t="s">
        <v>102</v>
      </c>
      <c r="C52" s="46"/>
      <c r="D52" s="42"/>
      <c r="E52" s="149"/>
      <c r="F52" s="41">
        <v>1347.3</v>
      </c>
      <c r="G52" s="139"/>
      <c r="H52" s="139"/>
    </row>
    <row r="53" spans="1:8" ht="25.5" x14ac:dyDescent="0.25">
      <c r="A53" s="25" t="s">
        <v>114</v>
      </c>
      <c r="B53" s="46" t="s">
        <v>102</v>
      </c>
      <c r="C53" s="46"/>
      <c r="D53" s="42"/>
      <c r="E53" s="149"/>
      <c r="F53" s="129"/>
      <c r="G53" s="139"/>
      <c r="H53" s="139"/>
    </row>
    <row r="54" spans="1:8" ht="25.5" x14ac:dyDescent="0.25">
      <c r="A54" s="26" t="s">
        <v>115</v>
      </c>
      <c r="B54" s="46" t="s">
        <v>98</v>
      </c>
      <c r="C54" s="84">
        <v>927.4</v>
      </c>
      <c r="D54" s="76">
        <v>2411.67</v>
      </c>
      <c r="E54" s="149"/>
      <c r="F54" s="75">
        <f>'[1]Стр.4-5'!D53/1000</f>
        <v>3688.6643100000001</v>
      </c>
      <c r="G54" s="145">
        <f>'[1]2020 '!D53/1000</f>
        <v>2378.8377299999997</v>
      </c>
      <c r="H54" s="145">
        <f>'[1]2021'!D53/1000</f>
        <v>2598.8377299999997</v>
      </c>
    </row>
    <row r="55" spans="1:8" x14ac:dyDescent="0.25">
      <c r="A55" s="25" t="s">
        <v>4</v>
      </c>
      <c r="B55" s="46"/>
      <c r="C55" s="46"/>
      <c r="D55" s="42"/>
      <c r="E55" s="149"/>
      <c r="F55" s="129"/>
      <c r="G55" s="139"/>
      <c r="H55" s="139"/>
    </row>
    <row r="56" spans="1:8" ht="51" x14ac:dyDescent="0.25">
      <c r="A56" s="25" t="s">
        <v>116</v>
      </c>
      <c r="B56" s="46" t="s">
        <v>98</v>
      </c>
      <c r="C56" s="46"/>
      <c r="D56" s="42"/>
      <c r="E56" s="149"/>
      <c r="F56" s="129"/>
      <c r="G56" s="139"/>
      <c r="H56" s="139"/>
    </row>
    <row r="57" spans="1:8" ht="68.25" customHeight="1" x14ac:dyDescent="0.25">
      <c r="A57" s="26" t="s">
        <v>118</v>
      </c>
      <c r="B57" s="46" t="s">
        <v>117</v>
      </c>
      <c r="C57" s="84">
        <f>13814643.94/24945105.08</f>
        <v>0.55380179380667494</v>
      </c>
      <c r="D57" s="138">
        <v>0.66</v>
      </c>
      <c r="E57" s="138">
        <v>0.66</v>
      </c>
      <c r="F57" s="138">
        <v>0.66</v>
      </c>
      <c r="G57" s="138">
        <v>0.66</v>
      </c>
      <c r="H57" s="138">
        <v>0.66</v>
      </c>
    </row>
    <row r="58" spans="1:8" ht="70.900000000000006" customHeight="1" x14ac:dyDescent="0.25">
      <c r="A58" s="26" t="s">
        <v>119</v>
      </c>
      <c r="B58" s="46" t="s">
        <v>117</v>
      </c>
      <c r="C58" s="93">
        <f>0/24945105.08</f>
        <v>0</v>
      </c>
      <c r="D58" s="93">
        <v>2.9000000000000001E-2</v>
      </c>
      <c r="E58" s="93">
        <v>2.9000000000000001E-2</v>
      </c>
      <c r="F58" s="93">
        <v>2.9000000000000001E-2</v>
      </c>
      <c r="G58" s="93">
        <v>2.9000000000000001E-2</v>
      </c>
      <c r="H58" s="93">
        <v>2.9000000000000001E-2</v>
      </c>
    </row>
    <row r="59" spans="1:8" ht="76.5" x14ac:dyDescent="0.25">
      <c r="A59" s="26" t="s">
        <v>120</v>
      </c>
      <c r="B59" s="46" t="s">
        <v>117</v>
      </c>
      <c r="C59" s="46"/>
      <c r="D59" s="42"/>
      <c r="E59" s="149"/>
      <c r="F59" s="129"/>
      <c r="G59" s="139"/>
      <c r="H59" s="139"/>
    </row>
    <row r="60" spans="1:8" x14ac:dyDescent="0.25">
      <c r="A60" s="25" t="s">
        <v>4</v>
      </c>
      <c r="B60" s="46" t="s">
        <v>117</v>
      </c>
      <c r="C60" s="46"/>
      <c r="D60" s="42"/>
      <c r="E60" s="149"/>
      <c r="F60" s="129"/>
      <c r="G60" s="139"/>
      <c r="H60" s="139"/>
    </row>
    <row r="61" spans="1:8" x14ac:dyDescent="0.25">
      <c r="A61" s="25" t="s">
        <v>154</v>
      </c>
      <c r="B61" s="46" t="s">
        <v>117</v>
      </c>
      <c r="C61" s="46"/>
      <c r="D61" s="42"/>
      <c r="E61" s="149"/>
      <c r="F61" s="129"/>
      <c r="G61" s="139"/>
      <c r="H61" s="139"/>
    </row>
    <row r="62" spans="1:8" x14ac:dyDescent="0.25">
      <c r="A62" s="26" t="s">
        <v>155</v>
      </c>
      <c r="B62" s="46" t="s">
        <v>117</v>
      </c>
      <c r="C62" s="46"/>
      <c r="D62" s="42"/>
      <c r="E62" s="149"/>
      <c r="F62" s="129"/>
      <c r="G62" s="139"/>
      <c r="H62" s="139"/>
    </row>
    <row r="63" spans="1:8" ht="25.5" x14ac:dyDescent="0.25">
      <c r="A63" s="44" t="s">
        <v>147</v>
      </c>
      <c r="B63" s="47"/>
      <c r="C63" s="47"/>
      <c r="D63" s="42"/>
      <c r="E63" s="149"/>
      <c r="F63" s="129"/>
      <c r="G63" s="139"/>
      <c r="H63" s="139"/>
    </row>
    <row r="64" spans="1:8" ht="38.25" x14ac:dyDescent="0.25">
      <c r="A64" s="26" t="s">
        <v>170</v>
      </c>
      <c r="B64" s="46" t="s">
        <v>117</v>
      </c>
      <c r="C64" s="46">
        <f t="shared" ref="C64:H64" si="15">C66</f>
        <v>2</v>
      </c>
      <c r="D64" s="140">
        <f t="shared" si="15"/>
        <v>45</v>
      </c>
      <c r="E64" s="140">
        <f t="shared" si="15"/>
        <v>2</v>
      </c>
      <c r="F64" s="140">
        <f t="shared" si="15"/>
        <v>45</v>
      </c>
      <c r="G64" s="140">
        <f t="shared" si="15"/>
        <v>45</v>
      </c>
      <c r="H64" s="140">
        <f t="shared" si="15"/>
        <v>45</v>
      </c>
    </row>
    <row r="65" spans="1:8" x14ac:dyDescent="0.25">
      <c r="A65" s="25" t="s">
        <v>4</v>
      </c>
      <c r="B65" s="46"/>
      <c r="C65" s="46"/>
      <c r="D65" s="41"/>
      <c r="E65" s="144"/>
      <c r="F65" s="41"/>
      <c r="G65" s="144"/>
      <c r="H65" s="144"/>
    </row>
    <row r="66" spans="1:8" ht="51" x14ac:dyDescent="0.25">
      <c r="A66" s="25" t="s">
        <v>148</v>
      </c>
      <c r="B66" s="46" t="s">
        <v>117</v>
      </c>
      <c r="C66" s="46">
        <v>2</v>
      </c>
      <c r="D66" s="140">
        <f>43+2</f>
        <v>45</v>
      </c>
      <c r="E66" s="140">
        <v>2</v>
      </c>
      <c r="F66" s="140">
        <f>43+2</f>
        <v>45</v>
      </c>
      <c r="G66" s="140">
        <f>43+2</f>
        <v>45</v>
      </c>
      <c r="H66" s="144">
        <f>43+2</f>
        <v>45</v>
      </c>
    </row>
    <row r="67" spans="1:8" ht="24.75" customHeight="1" x14ac:dyDescent="0.25">
      <c r="A67" s="44" t="s">
        <v>149</v>
      </c>
      <c r="B67" s="47"/>
      <c r="C67" s="47"/>
      <c r="D67" s="41"/>
      <c r="E67" s="144"/>
      <c r="F67" s="41"/>
      <c r="G67" s="144"/>
      <c r="H67" s="144"/>
    </row>
    <row r="68" spans="1:8" ht="63.75" x14ac:dyDescent="0.25">
      <c r="A68" s="26" t="s">
        <v>150</v>
      </c>
      <c r="B68" s="46" t="s">
        <v>129</v>
      </c>
      <c r="C68" s="46">
        <v>1</v>
      </c>
      <c r="D68" s="140">
        <v>1</v>
      </c>
      <c r="E68" s="140">
        <v>1</v>
      </c>
      <c r="F68" s="140">
        <v>1</v>
      </c>
      <c r="G68" s="140">
        <v>1</v>
      </c>
      <c r="H68" s="144">
        <v>1</v>
      </c>
    </row>
    <row r="69" spans="1:8" ht="51" x14ac:dyDescent="0.25">
      <c r="A69" s="26" t="s">
        <v>151</v>
      </c>
      <c r="B69" s="46" t="s">
        <v>130</v>
      </c>
      <c r="C69" s="46">
        <v>1</v>
      </c>
      <c r="D69" s="140">
        <v>1</v>
      </c>
      <c r="E69" s="140">
        <v>1</v>
      </c>
      <c r="F69" s="140">
        <v>1</v>
      </c>
      <c r="G69" s="140">
        <v>1</v>
      </c>
      <c r="H69" s="144">
        <v>1</v>
      </c>
    </row>
    <row r="70" spans="1:8" x14ac:dyDescent="0.25">
      <c r="A70" s="42"/>
      <c r="B70" s="42"/>
      <c r="C70" s="42"/>
      <c r="D70" s="42"/>
      <c r="E70" s="149"/>
      <c r="F70" s="42"/>
      <c r="G70" s="149"/>
      <c r="H70" s="149"/>
    </row>
    <row r="71" spans="1:8" x14ac:dyDescent="0.25">
      <c r="A71" s="49"/>
      <c r="B71" s="49"/>
      <c r="C71" s="49"/>
      <c r="D71" s="49"/>
    </row>
    <row r="72" spans="1:8" x14ac:dyDescent="0.25">
      <c r="A72" s="49"/>
      <c r="B72" s="49"/>
      <c r="C72" s="49"/>
      <c r="D72" s="49"/>
    </row>
    <row r="73" spans="1:8" x14ac:dyDescent="0.25">
      <c r="A73" s="49"/>
      <c r="B73" s="49"/>
      <c r="C73" s="49"/>
      <c r="D73" s="49"/>
    </row>
    <row r="74" spans="1:8" x14ac:dyDescent="0.25">
      <c r="A74" s="49"/>
      <c r="B74" s="49"/>
      <c r="C74" s="49"/>
      <c r="D74" s="49"/>
    </row>
    <row r="75" spans="1:8" ht="36.75" customHeight="1" x14ac:dyDescent="0.25">
      <c r="A75" s="262"/>
      <c r="B75" s="262"/>
      <c r="C75" s="262"/>
      <c r="D75" s="262"/>
    </row>
    <row r="76" spans="1:8" x14ac:dyDescent="0.25">
      <c r="A76" s="49"/>
      <c r="B76" s="49"/>
      <c r="C76" s="49"/>
      <c r="D76" s="49"/>
    </row>
    <row r="77" spans="1:8" x14ac:dyDescent="0.25">
      <c r="A77" s="49"/>
      <c r="B77" s="49"/>
      <c r="C77" s="49"/>
      <c r="D77" s="49"/>
    </row>
  </sheetData>
  <mergeCells count="4">
    <mergeCell ref="A75:D75"/>
    <mergeCell ref="A1:H1"/>
    <mergeCell ref="A2:H2"/>
    <mergeCell ref="I20:L20"/>
  </mergeCells>
  <pageMargins left="0.19685039370078741" right="0.23622047244094491" top="0.51181102362204722" bottom="0.74803149606299213" header="0.31496062992125984" footer="0.31496062992125984"/>
  <pageSetup paperSize="9" scale="80" fitToHeight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3"/>
  <sheetViews>
    <sheetView zoomScaleNormal="100" zoomScaleSheetLayoutView="100" workbookViewId="0">
      <selection sqref="A1:E1"/>
    </sheetView>
  </sheetViews>
  <sheetFormatPr defaultColWidth="9.140625" defaultRowHeight="12.75" x14ac:dyDescent="0.2"/>
  <cols>
    <col min="1" max="1" width="37.42578125" style="1" customWidth="1"/>
    <col min="2" max="2" width="12.5703125" style="1" customWidth="1"/>
    <col min="3" max="3" width="12.85546875" style="1" customWidth="1"/>
    <col min="4" max="4" width="10.28515625" style="1" customWidth="1"/>
    <col min="5" max="5" width="22.85546875" style="1" customWidth="1"/>
    <col min="6" max="6" width="14.42578125" style="1" customWidth="1"/>
    <col min="7" max="7" width="12.28515625" style="1" customWidth="1"/>
    <col min="8" max="16384" width="9.140625" style="1"/>
  </cols>
  <sheetData>
    <row r="1" spans="1:72" s="18" customFormat="1" ht="22.5" customHeight="1" x14ac:dyDescent="0.25">
      <c r="A1" s="291" t="s">
        <v>140</v>
      </c>
      <c r="B1" s="291"/>
      <c r="C1" s="291"/>
      <c r="D1" s="291"/>
      <c r="E1" s="291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</row>
    <row r="2" spans="1:72" s="18" customFormat="1" x14ac:dyDescent="0.25">
      <c r="A2" s="282" t="s">
        <v>289</v>
      </c>
      <c r="B2" s="282"/>
      <c r="C2" s="282"/>
      <c r="D2" s="282"/>
      <c r="E2" s="282"/>
    </row>
    <row r="4" spans="1:72" ht="43.5" customHeight="1" x14ac:dyDescent="0.2">
      <c r="A4" s="46" t="s">
        <v>131</v>
      </c>
      <c r="B4" s="46" t="s">
        <v>132</v>
      </c>
      <c r="C4" s="287" t="s">
        <v>134</v>
      </c>
      <c r="D4" s="288"/>
      <c r="E4" s="46" t="s">
        <v>135</v>
      </c>
    </row>
    <row r="5" spans="1:72" ht="43.5" customHeight="1" x14ac:dyDescent="0.2">
      <c r="A5" s="52" t="s">
        <v>138</v>
      </c>
      <c r="B5" s="47"/>
      <c r="C5" s="289"/>
      <c r="D5" s="290"/>
      <c r="E5" s="47"/>
    </row>
    <row r="6" spans="1:72" ht="25.5" customHeight="1" x14ac:dyDescent="0.2">
      <c r="A6" s="53" t="s">
        <v>166</v>
      </c>
      <c r="B6" s="46"/>
      <c r="C6" s="287"/>
      <c r="D6" s="288"/>
      <c r="E6" s="80"/>
    </row>
    <row r="7" spans="1:72" ht="42" customHeight="1" x14ac:dyDescent="0.2">
      <c r="A7" s="79" t="s">
        <v>228</v>
      </c>
      <c r="B7" s="46">
        <v>2019</v>
      </c>
      <c r="C7" s="285" t="s">
        <v>213</v>
      </c>
      <c r="D7" s="286"/>
      <c r="E7" s="80">
        <v>5</v>
      </c>
    </row>
    <row r="8" spans="1:72" ht="42" customHeight="1" x14ac:dyDescent="0.2">
      <c r="A8" s="53" t="s">
        <v>261</v>
      </c>
      <c r="B8" s="46">
        <v>2019</v>
      </c>
      <c r="C8" s="292" t="s">
        <v>260</v>
      </c>
      <c r="D8" s="293"/>
      <c r="E8" s="80">
        <v>52.38</v>
      </c>
    </row>
    <row r="9" spans="1:72" ht="28.5" customHeight="1" x14ac:dyDescent="0.2">
      <c r="A9" s="52" t="s">
        <v>136</v>
      </c>
      <c r="B9" s="47"/>
      <c r="C9" s="289"/>
      <c r="D9" s="290"/>
      <c r="E9" s="82"/>
    </row>
    <row r="10" spans="1:72" ht="39" customHeight="1" x14ac:dyDescent="0.2">
      <c r="A10" s="52" t="s">
        <v>137</v>
      </c>
      <c r="B10" s="47"/>
      <c r="C10" s="289"/>
      <c r="D10" s="290"/>
      <c r="E10" s="82"/>
    </row>
    <row r="11" spans="1:72" ht="44.25" customHeight="1" x14ac:dyDescent="0.2">
      <c r="A11" s="53" t="s">
        <v>209</v>
      </c>
      <c r="B11" s="46">
        <v>2019</v>
      </c>
      <c r="C11" s="285" t="s">
        <v>213</v>
      </c>
      <c r="D11" s="286"/>
      <c r="E11" s="81">
        <f>64+10</f>
        <v>74</v>
      </c>
    </row>
    <row r="12" spans="1:72" ht="28.5" customHeight="1" x14ac:dyDescent="0.2">
      <c r="A12" s="52" t="s">
        <v>139</v>
      </c>
      <c r="B12" s="46"/>
      <c r="C12" s="287"/>
      <c r="D12" s="288"/>
      <c r="E12" s="81"/>
    </row>
    <row r="13" spans="1:72" ht="52.5" customHeight="1" x14ac:dyDescent="0.2">
      <c r="A13" s="79" t="s">
        <v>208</v>
      </c>
      <c r="B13" s="46"/>
      <c r="C13" s="285" t="s">
        <v>263</v>
      </c>
      <c r="D13" s="286"/>
      <c r="E13" s="81">
        <v>0</v>
      </c>
    </row>
    <row r="14" spans="1:72" ht="45.75" customHeight="1" x14ac:dyDescent="0.2">
      <c r="A14" s="79" t="s">
        <v>212</v>
      </c>
      <c r="B14" s="46"/>
      <c r="C14" s="285" t="s">
        <v>211</v>
      </c>
      <c r="D14" s="286"/>
      <c r="E14" s="81">
        <v>0</v>
      </c>
    </row>
    <row r="15" spans="1:72" x14ac:dyDescent="0.2">
      <c r="A15" s="52" t="s">
        <v>133</v>
      </c>
      <c r="B15" s="46" t="s">
        <v>7</v>
      </c>
      <c r="C15" s="287" t="s">
        <v>7</v>
      </c>
      <c r="D15" s="288"/>
      <c r="E15" s="81">
        <f>SUM(E5:E14)</f>
        <v>131.38</v>
      </c>
    </row>
    <row r="16" spans="1:72" x14ac:dyDescent="0.2">
      <c r="A16" s="54"/>
      <c r="B16" s="54"/>
      <c r="C16" s="54"/>
      <c r="D16" s="54"/>
      <c r="E16" s="54"/>
    </row>
    <row r="17" spans="1:5" x14ac:dyDescent="0.2">
      <c r="A17" s="127" t="s">
        <v>262</v>
      </c>
      <c r="B17" s="54"/>
      <c r="C17" s="54"/>
      <c r="D17" s="56"/>
      <c r="E17" s="54"/>
    </row>
    <row r="18" spans="1:5" x14ac:dyDescent="0.2">
      <c r="A18" s="55" t="s">
        <v>143</v>
      </c>
      <c r="B18" s="54"/>
      <c r="C18" s="28"/>
      <c r="D18" s="56"/>
      <c r="E18" s="128" t="s">
        <v>287</v>
      </c>
    </row>
    <row r="19" spans="1:5" x14ac:dyDescent="0.2">
      <c r="A19" s="54"/>
      <c r="B19" s="54"/>
      <c r="C19" s="57" t="s">
        <v>22</v>
      </c>
      <c r="D19" s="57"/>
      <c r="E19" s="57" t="s">
        <v>29</v>
      </c>
    </row>
    <row r="20" spans="1:5" x14ac:dyDescent="0.2">
      <c r="A20" s="58" t="s">
        <v>83</v>
      </c>
      <c r="B20" s="54"/>
      <c r="C20" s="28"/>
      <c r="D20" s="56"/>
      <c r="E20" s="131" t="s">
        <v>288</v>
      </c>
    </row>
    <row r="21" spans="1:5" x14ac:dyDescent="0.2">
      <c r="A21" s="54"/>
      <c r="B21" s="54"/>
      <c r="C21" s="57" t="s">
        <v>22</v>
      </c>
      <c r="D21" s="57"/>
      <c r="E21" s="57" t="s">
        <v>29</v>
      </c>
    </row>
    <row r="22" spans="1:5" x14ac:dyDescent="0.2">
      <c r="A22" s="59" t="s">
        <v>282</v>
      </c>
      <c r="B22" s="54"/>
      <c r="C22" s="54"/>
      <c r="D22" s="54"/>
      <c r="E22" s="54"/>
    </row>
    <row r="23" spans="1:5" ht="23.25" customHeight="1" x14ac:dyDescent="0.2">
      <c r="A23" s="54" t="s">
        <v>297</v>
      </c>
      <c r="B23" s="54"/>
      <c r="C23" s="54"/>
      <c r="D23" s="54"/>
      <c r="E23" s="54"/>
    </row>
  </sheetData>
  <mergeCells count="14">
    <mergeCell ref="C9:D9"/>
    <mergeCell ref="A1:E1"/>
    <mergeCell ref="A2:E2"/>
    <mergeCell ref="C4:D4"/>
    <mergeCell ref="C5:D5"/>
    <mergeCell ref="C6:D6"/>
    <mergeCell ref="C7:D7"/>
    <mergeCell ref="C8:D8"/>
    <mergeCell ref="C11:D11"/>
    <mergeCell ref="C12:D12"/>
    <mergeCell ref="C13:D13"/>
    <mergeCell ref="C15:D15"/>
    <mergeCell ref="C10:D10"/>
    <mergeCell ref="C14:D14"/>
  </mergeCells>
  <pageMargins left="0.70866141732283472" right="0.47244094488188981" top="0.6692913385826772" bottom="0.74803149606299213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12</vt:i4>
      </vt:variant>
    </vt:vector>
  </HeadingPairs>
  <TitlesOfParts>
    <vt:vector size="21" baseType="lpstr">
      <vt:lpstr>Стр.1</vt:lpstr>
      <vt:lpstr>Стр.2-3</vt:lpstr>
      <vt:lpstr>Стр.4-5</vt:lpstr>
      <vt:lpstr>2020 </vt:lpstr>
      <vt:lpstr>2021</vt:lpstr>
      <vt:lpstr>Стр.6</vt:lpstr>
      <vt:lpstr>Стр 7</vt:lpstr>
      <vt:lpstr>стр 8-10</vt:lpstr>
      <vt:lpstr>стр.11</vt:lpstr>
      <vt:lpstr>'2020 '!Заголовки_для_печати</vt:lpstr>
      <vt:lpstr>'2021'!Заголовки_для_печати</vt:lpstr>
      <vt:lpstr>'стр 8-10'!Заголовки_для_печати</vt:lpstr>
      <vt:lpstr>'Стр.2-3'!Заголовки_для_печати</vt:lpstr>
      <vt:lpstr>'Стр.4-5'!Заголовки_для_печати</vt:lpstr>
      <vt:lpstr>'2020 '!Область_печати</vt:lpstr>
      <vt:lpstr>'2021'!Область_печати</vt:lpstr>
      <vt:lpstr>'стр 8-10'!Область_печати</vt:lpstr>
      <vt:lpstr>Стр.1!Область_печати</vt:lpstr>
      <vt:lpstr>стр.11!Область_печати</vt:lpstr>
      <vt:lpstr>'Стр.2-3'!Область_печати</vt:lpstr>
      <vt:lpstr>'Стр.4-5'!Область_печати</vt:lpstr>
    </vt:vector>
  </TitlesOfParts>
  <Company>Министерство финансов Мурманской области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klemeshova</dc:creator>
  <cp:lastModifiedBy>Юлия Симонова</cp:lastModifiedBy>
  <cp:lastPrinted>2019-10-31T09:26:08Z</cp:lastPrinted>
  <dcterms:created xsi:type="dcterms:W3CDTF">2015-12-03T07:22:45Z</dcterms:created>
  <dcterms:modified xsi:type="dcterms:W3CDTF">2019-10-31T13:58:58Z</dcterms:modified>
</cp:coreProperties>
</file>